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65" windowWidth="11280" windowHeight="8565" firstSheet="5" activeTab="12"/>
  </bookViews>
  <sheets>
    <sheet name="Ranglista" sheetId="1" r:id="rId1"/>
    <sheet name="Lengőteke" sheetId="2" r:id="rId2"/>
    <sheet name="Petanque" sheetId="3" r:id="rId3"/>
    <sheet name="Darts" sheetId="4" r:id="rId4"/>
    <sheet name="Bowls" sheetId="5" r:id="rId5"/>
    <sheet name="Íjászat" sheetId="6" r:id="rId6"/>
    <sheet name="Normafa" sheetId="7" r:id="rId7"/>
    <sheet name="Varakozasi ido I." sheetId="8" r:id="rId8"/>
    <sheet name="Városliget" sheetId="9" r:id="rId9"/>
    <sheet name="Varakozasi ido II." sheetId="10" r:id="rId10"/>
    <sheet name="Tájfutás" sheetId="11" r:id="rId11"/>
    <sheet name="Trail-O" sheetId="12" r:id="rId12"/>
    <sheet name="Skike" sheetId="13" r:id="rId13"/>
  </sheets>
  <definedNames/>
  <calcPr fullCalcOnLoad="1"/>
</workbook>
</file>

<file path=xl/comments12.xml><?xml version="1.0" encoding="utf-8"?>
<comments xmlns="http://schemas.openxmlformats.org/spreadsheetml/2006/main">
  <authors>
    <author>nemesh?zi</author>
    <author>Brigi</author>
  </authors>
  <commentList>
    <comment ref="A1" authorId="0">
      <text>
        <r>
          <rPr>
            <b/>
            <sz val="8"/>
            <rFont val="Tahoma"/>
            <family val="0"/>
          </rPr>
          <t xml:space="preserve">A verseny megnevezése
</t>
        </r>
      </text>
    </comment>
    <comment ref="A2" authorId="0">
      <text>
        <r>
          <rPr>
            <b/>
            <sz val="8"/>
            <rFont val="Tahoma"/>
            <family val="0"/>
          </rPr>
          <t>helyszín</t>
        </r>
      </text>
    </comment>
    <comment ref="A3" authorId="1">
      <text>
        <r>
          <rPr>
            <b/>
            <sz val="8"/>
            <rFont val="Tahoma"/>
            <family val="0"/>
          </rPr>
          <t>Sorrend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8"/>
            <rFont val="Tahoma"/>
            <family val="0"/>
          </rPr>
          <t xml:space="preserve">
Pontszám</t>
        </r>
      </text>
    </comment>
    <comment ref="D3" authorId="0">
      <text>
        <r>
          <rPr>
            <sz val="8"/>
            <rFont val="Tahoma"/>
            <family val="0"/>
          </rPr>
          <t xml:space="preserve">Jó pont / correct pont
</t>
        </r>
      </text>
    </comment>
    <comment ref="E3" authorId="0">
      <text>
        <r>
          <rPr>
            <sz val="8"/>
            <rFont val="Tahoma"/>
            <family val="0"/>
          </rPr>
          <t xml:space="preserve">Jó pont / correct pont
</t>
        </r>
      </text>
    </comment>
    <comment ref="G3" authorId="0">
      <text>
        <r>
          <rPr>
            <sz val="8"/>
            <rFont val="Tahoma"/>
            <family val="0"/>
          </rPr>
          <t xml:space="preserve">Jó pont / correct pont
</t>
        </r>
      </text>
    </comment>
    <comment ref="H3" authorId="0">
      <text>
        <r>
          <rPr>
            <sz val="8"/>
            <rFont val="Tahoma"/>
            <family val="0"/>
          </rPr>
          <t xml:space="preserve">Jó pont / correct pont
</t>
        </r>
      </text>
    </comment>
    <comment ref="J3" authorId="0">
      <text>
        <r>
          <rPr>
            <sz val="8"/>
            <rFont val="Tahoma"/>
            <family val="0"/>
          </rPr>
          <t xml:space="preserve">Jó pont / correct pont
</t>
        </r>
      </text>
    </comment>
    <comment ref="K3" authorId="0">
      <text>
        <r>
          <rPr>
            <sz val="8"/>
            <rFont val="Tahoma"/>
            <family val="0"/>
          </rPr>
          <t xml:space="preserve">Jó pont / correct pont
</t>
        </r>
      </text>
    </comment>
    <comment ref="M3" authorId="0">
      <text>
        <r>
          <rPr>
            <sz val="8"/>
            <rFont val="Tahoma"/>
            <family val="0"/>
          </rPr>
          <t xml:space="preserve">Jó pont / correct pont
</t>
        </r>
      </text>
    </comment>
    <comment ref="N3" authorId="0">
      <text>
        <r>
          <rPr>
            <sz val="8"/>
            <rFont val="Tahoma"/>
            <family val="0"/>
          </rPr>
          <t xml:space="preserve">Jó pont / correct pont
</t>
        </r>
      </text>
    </comment>
  </commentList>
</comments>
</file>

<file path=xl/sharedStrings.xml><?xml version="1.0" encoding="utf-8"?>
<sst xmlns="http://schemas.openxmlformats.org/spreadsheetml/2006/main" count="1199" uniqueCount="448">
  <si>
    <t>Név</t>
  </si>
  <si>
    <t>1.</t>
  </si>
  <si>
    <t>2.</t>
  </si>
  <si>
    <t>3.</t>
  </si>
  <si>
    <t>4.</t>
  </si>
  <si>
    <t>5.</t>
  </si>
  <si>
    <t>6.</t>
  </si>
  <si>
    <t>7.</t>
  </si>
  <si>
    <t>Hely</t>
  </si>
  <si>
    <t>8.</t>
  </si>
  <si>
    <t>Srsz.</t>
  </si>
  <si>
    <t>9.</t>
  </si>
  <si>
    <t>10.</t>
  </si>
  <si>
    <t>11.</t>
  </si>
  <si>
    <t>12.</t>
  </si>
  <si>
    <t>6rd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</si>
  <si>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</si>
  <si>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</si>
  <si>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</si>
  <si>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</si>
  <si>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</si>
  <si>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</si>
  <si>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</si>
  <si>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</si>
  <si>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</si>
  <si>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</si>
  <si>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</si>
  <si>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</si>
  <si>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Hluhov Roland</t>
  </si>
  <si>
    <t>Szarka Róbert László</t>
  </si>
  <si>
    <t>25.</t>
  </si>
  <si>
    <t>10 pont</t>
  </si>
  <si>
    <t>8 pont</t>
  </si>
  <si>
    <t>6 pont</t>
  </si>
  <si>
    <t>5 pont</t>
  </si>
  <si>
    <t>4 pont</t>
  </si>
  <si>
    <t>3 pont</t>
  </si>
  <si>
    <t>Darts</t>
  </si>
  <si>
    <t>Lengőteke</t>
  </si>
  <si>
    <t>Petanque</t>
  </si>
  <si>
    <t>Bowls</t>
  </si>
  <si>
    <t>Tájfutás</t>
  </si>
  <si>
    <t>Összesen</t>
  </si>
  <si>
    <t xml:space="preserve"> </t>
  </si>
  <si>
    <t>Czabai Veronika</t>
  </si>
  <si>
    <t>Össz.</t>
  </si>
  <si>
    <t>Tarolás</t>
  </si>
  <si>
    <t>Max.</t>
  </si>
  <si>
    <t>Teli</t>
  </si>
  <si>
    <t>26.</t>
  </si>
  <si>
    <t>27.</t>
  </si>
  <si>
    <t>28.</t>
  </si>
  <si>
    <t>Szabadsport pontverseny</t>
  </si>
  <si>
    <t>Szabadsport Bajnokság</t>
  </si>
  <si>
    <t>Aktivitás</t>
  </si>
  <si>
    <t>Íjászat</t>
  </si>
  <si>
    <t>Komplex I.</t>
  </si>
  <si>
    <t>Komplex II.</t>
  </si>
  <si>
    <t>Trail-O</t>
  </si>
  <si>
    <t>Skike</t>
  </si>
  <si>
    <t>Misztikultúra</t>
  </si>
  <si>
    <t>Hluhova Orsolya</t>
  </si>
  <si>
    <t>Simon Judit</t>
  </si>
  <si>
    <t>Vámosi Tibor</t>
  </si>
  <si>
    <t>Csakmag Martin</t>
  </si>
  <si>
    <t>Farkas Béla</t>
  </si>
  <si>
    <t>Ignéczi Norbert</t>
  </si>
  <si>
    <t>Osztó Dávid</t>
  </si>
  <si>
    <t>I.</t>
  </si>
  <si>
    <t>II.</t>
  </si>
  <si>
    <t>III.</t>
  </si>
  <si>
    <t>IV.</t>
  </si>
  <si>
    <t>V.</t>
  </si>
  <si>
    <t>VI.</t>
  </si>
  <si>
    <t>Farkas György</t>
  </si>
  <si>
    <t>Burghardt Dominik</t>
  </si>
  <si>
    <t>Hackler Krisztián</t>
  </si>
  <si>
    <t>Burghardt Olivér</t>
  </si>
  <si>
    <t>Letrung Hien Viktor</t>
  </si>
  <si>
    <t>Lakatos Marcelo</t>
  </si>
  <si>
    <t>Horváth Laura</t>
  </si>
  <si>
    <t>Hidasi Martin</t>
  </si>
  <si>
    <t>Kiss Róbert</t>
  </si>
  <si>
    <t>Oláh János</t>
  </si>
  <si>
    <t>Balogh Attila</t>
  </si>
  <si>
    <t>Csighy Adrienn</t>
  </si>
  <si>
    <t>Varga Viktória</t>
  </si>
  <si>
    <t>Bogdán Cintia</t>
  </si>
  <si>
    <t>Hunyadi Erika</t>
  </si>
  <si>
    <t>Darwich Ádám</t>
  </si>
  <si>
    <t>Ádám Glória</t>
  </si>
  <si>
    <t>Csiky Alexa</t>
  </si>
  <si>
    <t>Kozák Ronaldo</t>
  </si>
  <si>
    <t>Szalai Zsolt</t>
  </si>
  <si>
    <t>Katona Alex Bence</t>
  </si>
  <si>
    <t>Micsinyei László</t>
  </si>
  <si>
    <t>Hakler Diána</t>
  </si>
  <si>
    <t>Kiss Renáta</t>
  </si>
  <si>
    <t>Egli Bence Tamás</t>
  </si>
  <si>
    <t>Hackler Péter</t>
  </si>
  <si>
    <t>Czibere Bence</t>
  </si>
  <si>
    <t>Tündi</t>
  </si>
  <si>
    <t>Ami</t>
  </si>
  <si>
    <t>Csermely Attila</t>
  </si>
  <si>
    <t>Czipa Levente</t>
  </si>
  <si>
    <t>Varga Natália</t>
  </si>
  <si>
    <t>Can Bao Ngoc (Lili)</t>
  </si>
  <si>
    <t>Tóth Frank Csaba</t>
  </si>
  <si>
    <t>Pleva Milán</t>
  </si>
  <si>
    <t>Horváth Krisztián</t>
  </si>
  <si>
    <t>Zajácz Dávid</t>
  </si>
  <si>
    <t>Gulyás Bence</t>
  </si>
  <si>
    <t>Pozsgai Roland</t>
  </si>
  <si>
    <t>Krajnik Zsolt</t>
  </si>
  <si>
    <t>Kovács Márk</t>
  </si>
  <si>
    <t>Bob Alexandra</t>
  </si>
  <si>
    <t>Tóth Valentina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</si>
  <si>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</si>
  <si>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</si>
  <si>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</si>
  <si>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</si>
  <si>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</si>
  <si>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</si>
  <si>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</si>
  <si>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</si>
  <si>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</si>
  <si>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</si>
  <si>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</si>
  <si>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</si>
  <si>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</si>
  <si>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</si>
  <si>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</si>
  <si>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</si>
  <si>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</si>
  <si>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</si>
  <si>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Jónás Kata</t>
  </si>
  <si>
    <t>Farkas Gyuszika</t>
  </si>
  <si>
    <t>Gorcsakovszki Dani</t>
  </si>
  <si>
    <t>Ramos Ricardo</t>
  </si>
  <si>
    <t>Csapat</t>
  </si>
  <si>
    <t>Cser Viktor</t>
  </si>
  <si>
    <t>Váci A</t>
  </si>
  <si>
    <t>Fekete Balázs</t>
  </si>
  <si>
    <t>Cseke Lázár</t>
  </si>
  <si>
    <t>Püsök Tibor</t>
  </si>
  <si>
    <t>Fülöp Norbert</t>
  </si>
  <si>
    <t>Váci B</t>
  </si>
  <si>
    <t>Söbér Péter</t>
  </si>
  <si>
    <t>Szellő Roland</t>
  </si>
  <si>
    <t>Szántó Anett</t>
  </si>
  <si>
    <t>Szellő Anett</t>
  </si>
  <si>
    <t>Váci C</t>
  </si>
  <si>
    <t>Forró Szilvia</t>
  </si>
  <si>
    <t>Kósa Karolina</t>
  </si>
  <si>
    <t>Rotter Patrik</t>
  </si>
  <si>
    <t>Rotter Kitti</t>
  </si>
  <si>
    <t>Veres István</t>
  </si>
  <si>
    <t>Szarvas Dániel</t>
  </si>
  <si>
    <t>Németh István</t>
  </si>
  <si>
    <t>Váci D</t>
  </si>
  <si>
    <t>Sükei Csaba</t>
  </si>
  <si>
    <t>Matics Ádám</t>
  </si>
  <si>
    <t>Veréb Dávid</t>
  </si>
  <si>
    <t>Tájfutó idő</t>
  </si>
  <si>
    <t>Korrekció</t>
  </si>
  <si>
    <t>Idő</t>
  </si>
  <si>
    <t>35.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</si>
  <si>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</si>
  <si>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</si>
  <si>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</si>
  <si>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</si>
  <si>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</si>
  <si>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</si>
  <si>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</si>
  <si>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</si>
  <si>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</si>
  <si>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</si>
  <si>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</si>
  <si>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</si>
  <si>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</si>
  <si>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Össz</t>
  </si>
  <si>
    <t>61.</t>
  </si>
  <si>
    <t>62.</t>
  </si>
  <si>
    <t>63.</t>
  </si>
  <si>
    <t>64.</t>
  </si>
  <si>
    <t>65.</t>
  </si>
  <si>
    <t>66.</t>
  </si>
  <si>
    <t>67.</t>
  </si>
  <si>
    <t>Várakozási idők</t>
  </si>
  <si>
    <t>Simon Niki</t>
  </si>
  <si>
    <t>Kós A1</t>
  </si>
  <si>
    <t>Bálint Judit</t>
  </si>
  <si>
    <t>Kós A2</t>
  </si>
  <si>
    <t>Tóth Andrea</t>
  </si>
  <si>
    <t>Kós A3</t>
  </si>
  <si>
    <t>Bordás Attila</t>
  </si>
  <si>
    <t>Kós A5</t>
  </si>
  <si>
    <t>Karvai Sándor Gábor</t>
  </si>
  <si>
    <t>Kós A4</t>
  </si>
  <si>
    <t>Püsök Tibor Zsolt</t>
  </si>
  <si>
    <t>Váci A1</t>
  </si>
  <si>
    <t>Váci A2</t>
  </si>
  <si>
    <t>Kiss Ferenc</t>
  </si>
  <si>
    <t>Váci A3</t>
  </si>
  <si>
    <t>Kármán Szabolcs</t>
  </si>
  <si>
    <t>Váci A4</t>
  </si>
  <si>
    <t>Farkas Balázs</t>
  </si>
  <si>
    <t>Váci A5</t>
  </si>
  <si>
    <t>Tari Gábor</t>
  </si>
  <si>
    <t>Kós B1</t>
  </si>
  <si>
    <t>Soltész Péter</t>
  </si>
  <si>
    <t>Kós B2</t>
  </si>
  <si>
    <t>Csillag László</t>
  </si>
  <si>
    <t>Kós B3</t>
  </si>
  <si>
    <t>Bódis Gábor</t>
  </si>
  <si>
    <t>Kós B4</t>
  </si>
  <si>
    <t>Répási Tamás</t>
  </si>
  <si>
    <t>Kós B5</t>
  </si>
  <si>
    <t>Kós A</t>
  </si>
  <si>
    <t>Kós B</t>
  </si>
  <si>
    <t>Váci B1</t>
  </si>
  <si>
    <t>Szarvas Dani</t>
  </si>
  <si>
    <t>Váci B2</t>
  </si>
  <si>
    <t>Borbély Zsuzsa</t>
  </si>
  <si>
    <t>Váci B3</t>
  </si>
  <si>
    <t>Váci B4</t>
  </si>
  <si>
    <t>Turcsányi Tamás</t>
  </si>
  <si>
    <t>Váci B5</t>
  </si>
  <si>
    <t>Berki Zsanett</t>
  </si>
  <si>
    <t>Dögös ötös</t>
  </si>
  <si>
    <t>Bokor Dóra</t>
  </si>
  <si>
    <t>Dögös ötös1</t>
  </si>
  <si>
    <t>Dögös ötös2</t>
  </si>
  <si>
    <t>Halasi Evelin</t>
  </si>
  <si>
    <t>Dögös ötös3</t>
  </si>
  <si>
    <t>Horváth Virág</t>
  </si>
  <si>
    <t>Dögös ötös4</t>
  </si>
  <si>
    <t>Nagy Ágnes</t>
  </si>
  <si>
    <t>Dögös ötös5</t>
  </si>
  <si>
    <t>Csóra Dorina</t>
  </si>
  <si>
    <t>Édes ötös1</t>
  </si>
  <si>
    <t>Besenyei Szilvia</t>
  </si>
  <si>
    <t>Édes ötös2</t>
  </si>
  <si>
    <t>Túri Anita</t>
  </si>
  <si>
    <t>Édes ötös3</t>
  </si>
  <si>
    <t>Szentpéteri Zsuzsanna</t>
  </si>
  <si>
    <t>Édes ötös4</t>
  </si>
  <si>
    <t>Szatmári Magdolna</t>
  </si>
  <si>
    <t>Édes ötös5</t>
  </si>
  <si>
    <t>Édes ötös</t>
  </si>
  <si>
    <t>Arató Éva</t>
  </si>
  <si>
    <t>Spanyol viasz1</t>
  </si>
  <si>
    <t>Farkas Ramóna</t>
  </si>
  <si>
    <t>Spanyol viasz2</t>
  </si>
  <si>
    <t>Tóth Szandra</t>
  </si>
  <si>
    <t>Spanyol viasz3</t>
  </si>
  <si>
    <t>Molnár Brigitta</t>
  </si>
  <si>
    <t>Spanyol viasz4</t>
  </si>
  <si>
    <t>Racskó Andrea</t>
  </si>
  <si>
    <t>Spanyol viasz5</t>
  </si>
  <si>
    <t>Spanyol viasz</t>
  </si>
  <si>
    <t>Lovász Fruzsina</t>
  </si>
  <si>
    <t>Lányok1</t>
  </si>
  <si>
    <t>Gortva Zsanett</t>
  </si>
  <si>
    <t>Lányok2</t>
  </si>
  <si>
    <t>Bakti Kinga</t>
  </si>
  <si>
    <t>Lányok3</t>
  </si>
  <si>
    <t>Fazekas Martina</t>
  </si>
  <si>
    <t>Lányok4</t>
  </si>
  <si>
    <t>Hp</t>
  </si>
  <si>
    <t>Balogh Benjamin</t>
  </si>
  <si>
    <t>Czári Szabolcs</t>
  </si>
  <si>
    <t>Törőcsik Tibor</t>
  </si>
  <si>
    <t>MakKós Caroli</t>
  </si>
  <si>
    <t>MakKós Caroli1</t>
  </si>
  <si>
    <t>MakKós Caroli2</t>
  </si>
  <si>
    <t>MakKós Caroli3</t>
  </si>
  <si>
    <t>MakKós Caroli4</t>
  </si>
  <si>
    <t>MakKós Caroli5</t>
  </si>
  <si>
    <t>Zsipi Tamás</t>
  </si>
  <si>
    <t>Dér Dávid</t>
  </si>
  <si>
    <t>Váci Királyok</t>
  </si>
  <si>
    <t>Váci Királyok1</t>
  </si>
  <si>
    <t>Váci Királyok2</t>
  </si>
  <si>
    <t>Váci Királyok3</t>
  </si>
  <si>
    <t>Váci Királyok4</t>
  </si>
  <si>
    <t>Váci Királyok5</t>
  </si>
  <si>
    <t>Rácz Attila</t>
  </si>
  <si>
    <t>Rácz Péter</t>
  </si>
  <si>
    <t>TEMP-O VERSENY</t>
  </si>
  <si>
    <t>Összidő</t>
  </si>
  <si>
    <t>Helyes válasz</t>
  </si>
  <si>
    <t>Budapest, Városliget</t>
  </si>
  <si>
    <t>S.  sz</t>
  </si>
  <si>
    <t>C</t>
  </si>
  <si>
    <t>idő</t>
  </si>
  <si>
    <t>D</t>
  </si>
  <si>
    <t>A</t>
  </si>
  <si>
    <t>B</t>
  </si>
  <si>
    <t>E</t>
  </si>
  <si>
    <t>T1</t>
  </si>
  <si>
    <t>T2</t>
  </si>
  <si>
    <t>T3</t>
  </si>
  <si>
    <t>T4</t>
  </si>
  <si>
    <t>T5</t>
  </si>
  <si>
    <t>T6</t>
  </si>
  <si>
    <t>T7</t>
  </si>
  <si>
    <t>T8</t>
  </si>
  <si>
    <t>Szabó Zsuzsanna</t>
  </si>
  <si>
    <t>Farkas Sándor</t>
  </si>
  <si>
    <t>Kinde Mátyás</t>
  </si>
  <si>
    <t>Kovalcsik István</t>
  </si>
  <si>
    <t>Biró Fruzsina</t>
  </si>
  <si>
    <t>Nemesházi László</t>
  </si>
  <si>
    <t>Gyimesi Zoltán</t>
  </si>
  <si>
    <t>Hoffer László</t>
  </si>
  <si>
    <t>Szarka Róbert</t>
  </si>
  <si>
    <t>Kerekes Viktor</t>
  </si>
  <si>
    <t>Szalai Béla</t>
  </si>
  <si>
    <t>Biró Aletta</t>
  </si>
  <si>
    <t>Tóth Alexandra</t>
  </si>
  <si>
    <t>Fehér János</t>
  </si>
  <si>
    <t>Koronczay László</t>
  </si>
  <si>
    <t>Czier Zoltán</t>
  </si>
  <si>
    <t>Tömő József</t>
  </si>
  <si>
    <t>Fenyősy Antónia</t>
  </si>
  <si>
    <t>Sipos Judit</t>
  </si>
  <si>
    <t>Hacker István</t>
  </si>
  <si>
    <t>Novotni Tiborné</t>
  </si>
  <si>
    <t>Helyes válaszok száma</t>
  </si>
  <si>
    <t>Összes válasz</t>
  </si>
  <si>
    <t>Helyes válaszok aránya</t>
  </si>
  <si>
    <t>SI-dugó</t>
  </si>
  <si>
    <t>név</t>
  </si>
  <si>
    <t>rajt.idő</t>
  </si>
  <si>
    <t>cél.idő</t>
  </si>
  <si>
    <t>futott idő</t>
  </si>
  <si>
    <t>Pontfog. szám</t>
  </si>
  <si>
    <t>1.Kód</t>
  </si>
  <si>
    <t>1.Idő</t>
  </si>
  <si>
    <t>2.Kód</t>
  </si>
  <si>
    <t>2.Idő</t>
  </si>
  <si>
    <t>3.Kód</t>
  </si>
  <si>
    <t>3.Idő</t>
  </si>
  <si>
    <t>4.Kód</t>
  </si>
  <si>
    <t>4.Idő</t>
  </si>
  <si>
    <t>5.Kód</t>
  </si>
  <si>
    <t>5.Idő</t>
  </si>
  <si>
    <t>6.Kód</t>
  </si>
  <si>
    <t>6.Idő</t>
  </si>
  <si>
    <t>7.Kód</t>
  </si>
  <si>
    <t>7.Idő</t>
  </si>
  <si>
    <t>8.Kód</t>
  </si>
  <si>
    <t>8.Idő</t>
  </si>
  <si>
    <t>9.Kód</t>
  </si>
  <si>
    <t>9.Idő</t>
  </si>
  <si>
    <t>10.Kód</t>
  </si>
  <si>
    <t>10.Idő</t>
  </si>
  <si>
    <t>11.Kód</t>
  </si>
  <si>
    <t>11.Idő</t>
  </si>
  <si>
    <t>12.Kód</t>
  </si>
  <si>
    <t>12.Idő</t>
  </si>
  <si>
    <t>13.Kód</t>
  </si>
  <si>
    <t>13.Idő</t>
  </si>
  <si>
    <t>14.Kód</t>
  </si>
  <si>
    <t>14.Idő</t>
  </si>
  <si>
    <t>15.Kód</t>
  </si>
  <si>
    <t>15.Nap</t>
  </si>
  <si>
    <t>15.Idő</t>
  </si>
  <si>
    <t>16.Kód</t>
  </si>
  <si>
    <t>16.Nap</t>
  </si>
  <si>
    <t>16.Idő</t>
  </si>
  <si>
    <t>17.Kód</t>
  </si>
  <si>
    <t>17.Nap</t>
  </si>
  <si>
    <t>17.Idő</t>
  </si>
  <si>
    <t>18.Kód</t>
  </si>
  <si>
    <t>18.Nap</t>
  </si>
  <si>
    <t>18.Idő</t>
  </si>
  <si>
    <t>19.Kód</t>
  </si>
  <si>
    <t>19.Nap</t>
  </si>
  <si>
    <t>19.Idő</t>
  </si>
  <si>
    <t>20.Kód</t>
  </si>
  <si>
    <t>20.Nap</t>
  </si>
  <si>
    <t>20.Idő</t>
  </si>
  <si>
    <t>21.Kód</t>
  </si>
  <si>
    <t>21.Nap</t>
  </si>
  <si>
    <t>21.Idő</t>
  </si>
  <si>
    <t>22.Kód</t>
  </si>
  <si>
    <t>22.Nap</t>
  </si>
  <si>
    <t>22.Idő</t>
  </si>
  <si>
    <t>23.Kód</t>
  </si>
  <si>
    <t>23.Nap</t>
  </si>
  <si>
    <t>23.Idő</t>
  </si>
  <si>
    <t>24.Kód</t>
  </si>
  <si>
    <t>24.Nap</t>
  </si>
  <si>
    <t>24.Idő</t>
  </si>
  <si>
    <t>25.Kód</t>
  </si>
  <si>
    <t>25.Nap</t>
  </si>
  <si>
    <t>25.Idő</t>
  </si>
  <si>
    <t>26.Kód</t>
  </si>
  <si>
    <t>26.Nap</t>
  </si>
  <si>
    <t>26.Idő</t>
  </si>
  <si>
    <t>27.Kód</t>
  </si>
  <si>
    <t>27.Nap</t>
  </si>
  <si>
    <t>27.Idő</t>
  </si>
  <si>
    <t>28.Kód</t>
  </si>
  <si>
    <t>28.Nap</t>
  </si>
  <si>
    <t>28.Idő</t>
  </si>
  <si>
    <t>29.Kód</t>
  </si>
  <si>
    <t>29.Nap</t>
  </si>
  <si>
    <t>29.Idő</t>
  </si>
  <si>
    <t>30.Kód</t>
  </si>
  <si>
    <t>30.Nap</t>
  </si>
  <si>
    <t>30.Idő</t>
  </si>
  <si>
    <t>31.Kód</t>
  </si>
  <si>
    <t>31.Nap</t>
  </si>
  <si>
    <t>31.Idő</t>
  </si>
  <si>
    <t>32.Kód</t>
  </si>
  <si>
    <t>32.Nap</t>
  </si>
  <si>
    <t>32.Idő</t>
  </si>
  <si>
    <t>33.Kód</t>
  </si>
  <si>
    <t>33.Nap</t>
  </si>
  <si>
    <t>33.Idő</t>
  </si>
  <si>
    <t>34.Kód</t>
  </si>
  <si>
    <t>34.Nap</t>
  </si>
  <si>
    <t>34.Idő</t>
  </si>
  <si>
    <t>35.Kód</t>
  </si>
  <si>
    <t>35.Nap</t>
  </si>
  <si>
    <t>35.Idő</t>
  </si>
  <si>
    <t>36.Kód</t>
  </si>
  <si>
    <t>36.Nap</t>
  </si>
  <si>
    <t>36.Idő</t>
  </si>
  <si>
    <t>Schwendtner Bálint</t>
  </si>
  <si>
    <t>Vellner Gábor</t>
  </si>
  <si>
    <t>Hegedüs Béla</t>
  </si>
  <si>
    <t>Orbán János</t>
  </si>
  <si>
    <t>Vida István</t>
  </si>
  <si>
    <t>Bojtor Szabolcs</t>
  </si>
  <si>
    <t>Fekete András</t>
  </si>
  <si>
    <t>Vácis sorrend</t>
  </si>
  <si>
    <t>Indulás</t>
  </si>
  <si>
    <t>Érkezés</t>
  </si>
  <si>
    <t>Mailát Hunor</t>
  </si>
  <si>
    <t>Godó Zsolt</t>
  </si>
  <si>
    <t>Godó Zoltán</t>
  </si>
  <si>
    <t>Oláh Renátó</t>
  </si>
  <si>
    <t>VII.</t>
  </si>
  <si>
    <t>VIII.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</si>
</sst>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&quot; pont&quot;"/>
    <numFmt numFmtId="165" formatCode="[$-F400]h:mm:ss\ AM/PM"/>
    <numFmt numFmtId="166" formatCode="h:mm;@"/>
    <numFmt numFmtId="167" formatCode="h:mm:ss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textRotation="45" wrapText="1"/>
    </xf>
    <xf numFmtId="0" fontId="55" fillId="0" borderId="10" xfId="0" applyFont="1" applyBorder="1" applyAlignment="1">
      <alignment/>
    </xf>
    <xf numFmtId="0" fontId="55" fillId="0" borderId="0" xfId="0" applyFont="1" applyAlignment="1">
      <alignment/>
    </xf>
    <xf numFmtId="0" fontId="0" fillId="33" borderId="13" xfId="0" applyFill="1" applyBorder="1" applyAlignment="1">
      <alignment horizontal="left" vertical="center" textRotation="45" wrapText="1"/>
    </xf>
    <xf numFmtId="0" fontId="55" fillId="33" borderId="10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5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right"/>
    </xf>
    <xf numFmtId="0" fontId="55" fillId="0" borderId="10" xfId="0" applyFont="1" applyBorder="1" applyAlignment="1">
      <alignment horizontal="right"/>
    </xf>
    <xf numFmtId="0" fontId="55" fillId="33" borderId="10" xfId="0" applyFont="1" applyFill="1" applyBorder="1" applyAlignment="1">
      <alignment horizontal="center"/>
    </xf>
    <xf numFmtId="0" fontId="60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 horizontal="center" vertical="center"/>
    </xf>
    <xf numFmtId="0" fontId="59" fillId="0" borderId="14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59" fillId="33" borderId="19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62" fillId="33" borderId="22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59" fillId="33" borderId="23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55" fillId="33" borderId="24" xfId="0" applyFont="1" applyFill="1" applyBorder="1" applyAlignment="1">
      <alignment/>
    </xf>
    <xf numFmtId="0" fontId="55" fillId="0" borderId="24" xfId="0" applyFont="1" applyBorder="1" applyAlignment="1">
      <alignment/>
    </xf>
    <xf numFmtId="0" fontId="55" fillId="0" borderId="24" xfId="0" applyFont="1" applyBorder="1" applyAlignment="1">
      <alignment horizontal="right"/>
    </xf>
    <xf numFmtId="0" fontId="55" fillId="0" borderId="0" xfId="0" applyFont="1" applyFill="1" applyBorder="1" applyAlignment="1">
      <alignment horizontal="right"/>
    </xf>
    <xf numFmtId="0" fontId="55" fillId="0" borderId="25" xfId="0" applyFont="1" applyFill="1" applyBorder="1" applyAlignment="1">
      <alignment/>
    </xf>
    <xf numFmtId="0" fontId="55" fillId="0" borderId="25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3" fillId="33" borderId="26" xfId="0" applyFont="1" applyFill="1" applyBorder="1" applyAlignment="1">
      <alignment horizontal="left"/>
    </xf>
    <xf numFmtId="0" fontId="0" fillId="33" borderId="13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5" fillId="33" borderId="26" xfId="0" applyFont="1" applyFill="1" applyBorder="1" applyAlignment="1">
      <alignment horizontal="center"/>
    </xf>
    <xf numFmtId="0" fontId="55" fillId="0" borderId="28" xfId="0" applyFont="1" applyBorder="1" applyAlignment="1">
      <alignment/>
    </xf>
    <xf numFmtId="0" fontId="55" fillId="0" borderId="29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5" fontId="60" fillId="0" borderId="10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60" fillId="0" borderId="0" xfId="0" applyNumberFormat="1" applyFont="1" applyAlignment="1">
      <alignment horizontal="center" vertical="center"/>
    </xf>
    <xf numFmtId="165" fontId="5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38" fillId="33" borderId="27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textRotation="45" wrapText="1"/>
    </xf>
    <xf numFmtId="0" fontId="39" fillId="33" borderId="30" xfId="0" applyFont="1" applyFill="1" applyBorder="1" applyAlignment="1">
      <alignment horizontal="center" vertical="center" textRotation="45" wrapText="1"/>
    </xf>
    <xf numFmtId="0" fontId="40" fillId="33" borderId="31" xfId="0" applyFont="1" applyFill="1" applyBorder="1" applyAlignment="1">
      <alignment horizontal="center" vertical="center" textRotation="45" wrapText="1"/>
    </xf>
    <xf numFmtId="0" fontId="40" fillId="0" borderId="21" xfId="0" applyFont="1" applyBorder="1" applyAlignment="1">
      <alignment/>
    </xf>
    <xf numFmtId="0" fontId="38" fillId="0" borderId="3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164" fontId="40" fillId="0" borderId="33" xfId="0" applyNumberFormat="1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164" fontId="40" fillId="0" borderId="36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/>
    </xf>
    <xf numFmtId="0" fontId="39" fillId="0" borderId="37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164" fontId="40" fillId="0" borderId="38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34" borderId="0" xfId="0" applyNumberFormat="1" applyFill="1" applyAlignment="1">
      <alignment horizontal="center"/>
    </xf>
    <xf numFmtId="0" fontId="0" fillId="0" borderId="39" xfId="0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" fontId="6" fillId="0" borderId="43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10" fillId="0" borderId="39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" fontId="0" fillId="0" borderId="43" xfId="0" applyNumberForma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1" fontId="6" fillId="0" borderId="50" xfId="0" applyNumberFormat="1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1" fillId="0" borderId="52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0" fillId="0" borderId="53" xfId="0" applyNumberForma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" fontId="0" fillId="0" borderId="52" xfId="0" applyNumberFormat="1" applyFill="1" applyBorder="1" applyAlignment="1">
      <alignment horizontal="center" vertical="center"/>
    </xf>
    <xf numFmtId="1" fontId="6" fillId="0" borderId="33" xfId="0" applyNumberFormat="1" applyFont="1" applyBorder="1" applyAlignment="1">
      <alignment vertical="center"/>
    </xf>
    <xf numFmtId="0" fontId="11" fillId="0" borderId="53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1" fillId="0" borderId="55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" fontId="0" fillId="0" borderId="56" xfId="0" applyNumberFormat="1" applyFill="1" applyBorder="1" applyAlignment="1">
      <alignment horizontal="center" vertical="center"/>
    </xf>
    <xf numFmtId="1" fontId="0" fillId="0" borderId="55" xfId="0" applyNumberFormat="1" applyFill="1" applyBorder="1" applyAlignment="1">
      <alignment horizontal="center" vertical="center"/>
    </xf>
    <xf numFmtId="1" fontId="6" fillId="0" borderId="38" xfId="0" applyNumberFormat="1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55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11" fillId="0" borderId="58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59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" fontId="0" fillId="0" borderId="59" xfId="0" applyNumberFormat="1" applyFill="1" applyBorder="1" applyAlignment="1">
      <alignment horizontal="center" vertical="center"/>
    </xf>
    <xf numFmtId="1" fontId="0" fillId="0" borderId="58" xfId="0" applyNumberFormat="1" applyFill="1" applyBorder="1" applyAlignment="1">
      <alignment horizontal="center" vertical="center"/>
    </xf>
    <xf numFmtId="1" fontId="6" fillId="0" borderId="60" xfId="0" applyNumberFormat="1" applyFont="1" applyBorder="1" applyAlignment="1">
      <alignment vertical="center"/>
    </xf>
    <xf numFmtId="0" fontId="11" fillId="0" borderId="59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" fontId="5" fillId="0" borderId="0" xfId="6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1" fontId="0" fillId="0" borderId="0" xfId="0" applyNumberFormat="1" applyAlignment="1">
      <alignment/>
    </xf>
    <xf numFmtId="0" fontId="64" fillId="0" borderId="0" xfId="0" applyFont="1" applyBorder="1" applyAlignment="1">
      <alignment vertical="center"/>
    </xf>
    <xf numFmtId="166" fontId="62" fillId="0" borderId="0" xfId="0" applyNumberFormat="1" applyFont="1" applyFill="1" applyBorder="1" applyAlignment="1">
      <alignment horizontal="center" vertical="center"/>
    </xf>
    <xf numFmtId="166" fontId="62" fillId="0" borderId="0" xfId="0" applyNumberFormat="1" applyFont="1" applyBorder="1" applyAlignment="1">
      <alignment horizontal="center"/>
    </xf>
    <xf numFmtId="166" fontId="62" fillId="0" borderId="0" xfId="0" applyNumberFormat="1" applyFont="1" applyAlignment="1">
      <alignment/>
    </xf>
    <xf numFmtId="0" fontId="60" fillId="0" borderId="0" xfId="0" applyFont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0" fontId="55" fillId="33" borderId="19" xfId="0" applyFont="1" applyFill="1" applyBorder="1" applyAlignment="1">
      <alignment horizontal="center"/>
    </xf>
    <xf numFmtId="0" fontId="55" fillId="33" borderId="55" xfId="0" applyFont="1" applyFill="1" applyBorder="1" applyAlignment="1">
      <alignment horizontal="center"/>
    </xf>
    <xf numFmtId="0" fontId="55" fillId="33" borderId="37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50" xfId="0" applyNumberFormat="1" applyFont="1" applyFill="1" applyBorder="1" applyAlignment="1">
      <alignment horizontal="center" vertical="center" textRotation="90"/>
    </xf>
    <xf numFmtId="1" fontId="3" fillId="0" borderId="62" xfId="0" applyNumberFormat="1" applyFont="1" applyFill="1" applyBorder="1" applyAlignment="1">
      <alignment horizontal="center" vertical="center" textRotation="90"/>
    </xf>
    <xf numFmtId="1" fontId="3" fillId="0" borderId="63" xfId="0" applyNumberFormat="1" applyFont="1" applyFill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/>
    </xf>
    <xf numFmtId="0" fontId="4" fillId="0" borderId="62" xfId="0" applyFont="1" applyBorder="1" applyAlignment="1">
      <alignment horizontal="center" vertical="center" textRotation="90"/>
    </xf>
    <xf numFmtId="0" fontId="4" fillId="0" borderId="64" xfId="0" applyFont="1" applyBorder="1" applyAlignment="1">
      <alignment horizontal="center" vertical="center" textRotation="90"/>
    </xf>
    <xf numFmtId="0" fontId="4" fillId="0" borderId="47" xfId="0" applyFont="1" applyBorder="1" applyAlignment="1">
      <alignment horizontal="center" vertical="center" textRotation="90"/>
    </xf>
    <xf numFmtId="0" fontId="5" fillId="0" borderId="6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6" fillId="0" borderId="40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7" fontId="0" fillId="33" borderId="10" xfId="0" applyNumberFormat="1" applyFill="1" applyBorder="1" applyAlignment="1">
      <alignment horizontal="center" vertical="center"/>
    </xf>
    <xf numFmtId="167" fontId="55" fillId="33" borderId="10" xfId="0" applyNumberFormat="1" applyFont="1" applyFill="1" applyBorder="1" applyAlignment="1">
      <alignment horizontal="center" vertical="center"/>
    </xf>
    <xf numFmtId="167" fontId="0" fillId="0" borderId="10" xfId="0" applyNumberFormat="1" applyBorder="1" applyAlignment="1">
      <alignment horizontal="center"/>
    </xf>
    <xf numFmtId="167" fontId="55" fillId="0" borderId="10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55" fillId="0" borderId="0" xfId="0" applyNumberFormat="1" applyFont="1" applyAlignment="1">
      <alignment horizontal="center"/>
    </xf>
    <xf numFmtId="0" fontId="41" fillId="0" borderId="56" xfId="0" applyFont="1" applyBorder="1" applyAlignment="1">
      <alignment/>
    </xf>
    <xf numFmtId="0" fontId="63" fillId="33" borderId="28" xfId="0" applyFont="1" applyFill="1" applyBorder="1" applyAlignment="1">
      <alignment horizontal="left"/>
    </xf>
    <xf numFmtId="0" fontId="63" fillId="33" borderId="10" xfId="0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indexed="10"/>
      </font>
    </dxf>
    <dxf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  <color rgb="FFC0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pane ySplit="2" topLeftCell="A37" activePane="bottomLeft" state="frozen"/>
      <selection pane="topLeft" activeCell="A1" sqref="A1"/>
      <selection pane="bottomLeft" activeCell="A49" sqref="A49:A51"/>
    </sheetView>
  </sheetViews>
  <sheetFormatPr defaultColWidth="9.140625" defaultRowHeight="15"/>
  <cols>
    <col min="1" max="1" width="4.57421875" style="54" customWidth="1"/>
    <col min="2" max="2" width="25.8515625" style="37" customWidth="1"/>
    <col min="3" max="8" width="6.57421875" style="55" customWidth="1"/>
    <col min="9" max="9" width="6.57421875" style="56" customWidth="1"/>
    <col min="10" max="14" width="6.57421875" style="37" customWidth="1"/>
    <col min="15" max="15" width="10.28125" style="37" customWidth="1"/>
    <col min="16" max="16384" width="9.140625" style="37" customWidth="1"/>
  </cols>
  <sheetData>
    <row r="1" spans="1:15" ht="52.5" customHeight="1" thickBot="1">
      <c r="A1" s="195" t="s">
        <v>53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s="10" customFormat="1" ht="58.5" customHeight="1" thickBot="1">
      <c r="A2" s="13"/>
      <c r="B2" s="83" t="s">
        <v>53</v>
      </c>
      <c r="C2" s="84" t="s">
        <v>54</v>
      </c>
      <c r="D2" s="84" t="s">
        <v>38</v>
      </c>
      <c r="E2" s="84" t="s">
        <v>39</v>
      </c>
      <c r="F2" s="84" t="s">
        <v>37</v>
      </c>
      <c r="G2" s="84" t="s">
        <v>40</v>
      </c>
      <c r="H2" s="84" t="s">
        <v>55</v>
      </c>
      <c r="I2" s="84" t="s">
        <v>56</v>
      </c>
      <c r="J2" s="84" t="s">
        <v>57</v>
      </c>
      <c r="K2" s="85" t="s">
        <v>41</v>
      </c>
      <c r="L2" s="85" t="s">
        <v>58</v>
      </c>
      <c r="M2" s="85" t="s">
        <v>59</v>
      </c>
      <c r="N2" s="85" t="s">
        <v>60</v>
      </c>
      <c r="O2" s="86" t="s">
        <v>42</v>
      </c>
    </row>
    <row r="3" spans="1:15" s="12" customFormat="1" ht="18.75">
      <c r="A3" s="23" t="s">
        <v>1</v>
      </c>
      <c r="B3" s="87" t="s">
        <v>144</v>
      </c>
      <c r="C3" s="88">
        <v>10</v>
      </c>
      <c r="D3" s="89"/>
      <c r="E3" s="89"/>
      <c r="F3" s="89"/>
      <c r="G3" s="89"/>
      <c r="H3" s="89">
        <v>6</v>
      </c>
      <c r="I3" s="89"/>
      <c r="J3" s="89">
        <v>8</v>
      </c>
      <c r="K3" s="90">
        <v>3</v>
      </c>
      <c r="L3" s="90"/>
      <c r="M3" s="90">
        <v>6</v>
      </c>
      <c r="N3" s="90"/>
      <c r="O3" s="91">
        <f>SUM(C3:N3)</f>
        <v>33</v>
      </c>
    </row>
    <row r="4" spans="1:15" s="12" customFormat="1" ht="18.75">
      <c r="A4" s="58" t="s">
        <v>2</v>
      </c>
      <c r="B4" s="96" t="s">
        <v>148</v>
      </c>
      <c r="C4" s="92">
        <v>7</v>
      </c>
      <c r="D4" s="93"/>
      <c r="E4" s="93"/>
      <c r="F4" s="93"/>
      <c r="G4" s="93"/>
      <c r="H4" s="93">
        <v>3</v>
      </c>
      <c r="I4" s="93">
        <v>10</v>
      </c>
      <c r="J4" s="93"/>
      <c r="K4" s="94"/>
      <c r="L4" s="94"/>
      <c r="M4" s="94">
        <v>8</v>
      </c>
      <c r="N4" s="94"/>
      <c r="O4" s="95">
        <f>SUM(C4:N4)</f>
        <v>28</v>
      </c>
    </row>
    <row r="5" spans="1:15" s="12" customFormat="1" ht="18.75">
      <c r="A5" s="58" t="s">
        <v>3</v>
      </c>
      <c r="B5" s="96" t="s">
        <v>62</v>
      </c>
      <c r="C5" s="92">
        <v>18</v>
      </c>
      <c r="D5" s="93">
        <v>5</v>
      </c>
      <c r="E5" s="93"/>
      <c r="F5" s="93"/>
      <c r="G5" s="93"/>
      <c r="H5" s="93"/>
      <c r="I5" s="93"/>
      <c r="J5" s="93"/>
      <c r="K5" s="94"/>
      <c r="L5" s="94"/>
      <c r="M5" s="94"/>
      <c r="N5" s="94"/>
      <c r="O5" s="95">
        <f>SUM(C5:N5)</f>
        <v>23</v>
      </c>
    </row>
    <row r="6" spans="1:15" s="12" customFormat="1" ht="18.75">
      <c r="A6" s="58" t="s">
        <v>4</v>
      </c>
      <c r="B6" s="96" t="s">
        <v>143</v>
      </c>
      <c r="C6" s="92">
        <v>7</v>
      </c>
      <c r="D6" s="93"/>
      <c r="E6" s="93"/>
      <c r="F6" s="93"/>
      <c r="G6" s="93"/>
      <c r="H6" s="93">
        <v>5</v>
      </c>
      <c r="I6" s="93"/>
      <c r="J6" s="93"/>
      <c r="K6" s="94"/>
      <c r="L6" s="94"/>
      <c r="M6" s="94">
        <v>10</v>
      </c>
      <c r="N6" s="94"/>
      <c r="O6" s="95">
        <f>SUM(C6:N6)</f>
        <v>22</v>
      </c>
    </row>
    <row r="7" spans="1:15" s="12" customFormat="1" ht="18.75">
      <c r="A7" s="58" t="s">
        <v>5</v>
      </c>
      <c r="B7" s="96" t="s">
        <v>136</v>
      </c>
      <c r="C7" s="92">
        <v>4</v>
      </c>
      <c r="D7" s="93"/>
      <c r="E7" s="93"/>
      <c r="F7" s="93">
        <v>8</v>
      </c>
      <c r="G7" s="93">
        <v>8</v>
      </c>
      <c r="H7" s="93"/>
      <c r="I7" s="93"/>
      <c r="J7" s="93"/>
      <c r="K7" s="94"/>
      <c r="L7" s="94"/>
      <c r="M7" s="94"/>
      <c r="N7" s="94"/>
      <c r="O7" s="95">
        <f>SUM(C7:N7)</f>
        <v>20</v>
      </c>
    </row>
    <row r="8" spans="1:15" s="12" customFormat="1" ht="18.75">
      <c r="A8" s="58" t="s">
        <v>6</v>
      </c>
      <c r="B8" s="96" t="s">
        <v>28</v>
      </c>
      <c r="C8" s="92">
        <v>9</v>
      </c>
      <c r="D8" s="93">
        <v>4</v>
      </c>
      <c r="E8" s="93"/>
      <c r="F8" s="93"/>
      <c r="G8" s="93"/>
      <c r="H8" s="93"/>
      <c r="I8" s="93"/>
      <c r="J8" s="93"/>
      <c r="K8" s="94"/>
      <c r="L8" s="94"/>
      <c r="M8" s="94"/>
      <c r="N8" s="94">
        <v>3</v>
      </c>
      <c r="O8" s="95">
        <f>SUM(C8:N8)</f>
        <v>16</v>
      </c>
    </row>
    <row r="9" spans="1:15" s="12" customFormat="1" ht="18.75">
      <c r="A9" s="58" t="s">
        <v>7</v>
      </c>
      <c r="B9" s="96" t="s">
        <v>445</v>
      </c>
      <c r="C9" s="92">
        <v>7</v>
      </c>
      <c r="D9" s="93"/>
      <c r="E9" s="93"/>
      <c r="F9" s="93"/>
      <c r="G9" s="93"/>
      <c r="H9" s="93"/>
      <c r="I9" s="93"/>
      <c r="J9" s="93"/>
      <c r="K9" s="94"/>
      <c r="L9" s="94"/>
      <c r="M9" s="94">
        <v>5</v>
      </c>
      <c r="N9" s="94"/>
      <c r="O9" s="95">
        <f>SUM(C9:N9)</f>
        <v>12</v>
      </c>
    </row>
    <row r="10" spans="1:15" s="12" customFormat="1" ht="18.75">
      <c r="A10" s="58" t="s">
        <v>9</v>
      </c>
      <c r="B10" s="96" t="s">
        <v>210</v>
      </c>
      <c r="C10" s="92">
        <v>2</v>
      </c>
      <c r="D10" s="93"/>
      <c r="E10" s="93"/>
      <c r="F10" s="93"/>
      <c r="G10" s="93"/>
      <c r="H10" s="93"/>
      <c r="I10" s="93">
        <v>4</v>
      </c>
      <c r="J10" s="93">
        <v>6</v>
      </c>
      <c r="K10" s="94"/>
      <c r="L10" s="94"/>
      <c r="M10" s="94"/>
      <c r="N10" s="94"/>
      <c r="O10" s="95">
        <f>SUM(C10:N10)</f>
        <v>12</v>
      </c>
    </row>
    <row r="11" spans="1:15" s="12" customFormat="1" ht="18.75">
      <c r="A11" s="58"/>
      <c r="B11" s="96" t="s">
        <v>208</v>
      </c>
      <c r="C11" s="92">
        <v>2</v>
      </c>
      <c r="D11" s="93"/>
      <c r="E11" s="93"/>
      <c r="F11" s="93"/>
      <c r="G11" s="93"/>
      <c r="H11" s="93"/>
      <c r="I11" s="93"/>
      <c r="J11" s="93">
        <v>10</v>
      </c>
      <c r="K11" s="94"/>
      <c r="L11" s="94"/>
      <c r="M11" s="94"/>
      <c r="N11" s="94"/>
      <c r="O11" s="95">
        <f>SUM(C11:N11)</f>
        <v>12</v>
      </c>
    </row>
    <row r="12" spans="1:15" s="12" customFormat="1" ht="18.75">
      <c r="A12" s="58" t="s">
        <v>12</v>
      </c>
      <c r="B12" s="96" t="s">
        <v>65</v>
      </c>
      <c r="C12" s="92">
        <v>3</v>
      </c>
      <c r="D12" s="93"/>
      <c r="E12" s="93">
        <v>8</v>
      </c>
      <c r="F12" s="93"/>
      <c r="G12" s="93"/>
      <c r="H12" s="93"/>
      <c r="I12" s="93"/>
      <c r="J12" s="93"/>
      <c r="K12" s="94"/>
      <c r="L12" s="94"/>
      <c r="M12" s="94"/>
      <c r="N12" s="94"/>
      <c r="O12" s="95">
        <f>SUM(C12:N12)</f>
        <v>11</v>
      </c>
    </row>
    <row r="13" spans="1:15" s="12" customFormat="1" ht="18.75">
      <c r="A13" s="58" t="s">
        <v>13</v>
      </c>
      <c r="B13" s="96" t="s">
        <v>64</v>
      </c>
      <c r="C13" s="92">
        <v>1</v>
      </c>
      <c r="D13" s="93"/>
      <c r="E13" s="93">
        <v>10</v>
      </c>
      <c r="F13" s="93"/>
      <c r="G13" s="93"/>
      <c r="H13" s="93"/>
      <c r="I13" s="93"/>
      <c r="J13" s="93"/>
      <c r="K13" s="94"/>
      <c r="L13" s="94"/>
      <c r="M13" s="94"/>
      <c r="N13" s="94"/>
      <c r="O13" s="95">
        <f>SUM(C13:N13)</f>
        <v>11</v>
      </c>
    </row>
    <row r="14" spans="1:15" s="12" customFormat="1" ht="18.75">
      <c r="A14" s="58"/>
      <c r="B14" s="96" t="s">
        <v>140</v>
      </c>
      <c r="C14" s="92">
        <v>1</v>
      </c>
      <c r="D14" s="93"/>
      <c r="E14" s="93"/>
      <c r="F14" s="93"/>
      <c r="G14" s="93"/>
      <c r="H14" s="93">
        <v>10</v>
      </c>
      <c r="I14" s="93"/>
      <c r="J14" s="93"/>
      <c r="K14" s="94"/>
      <c r="L14" s="94"/>
      <c r="M14" s="94"/>
      <c r="N14" s="94"/>
      <c r="O14" s="95">
        <f>SUM(C14:N14)</f>
        <v>11</v>
      </c>
    </row>
    <row r="15" spans="1:15" s="12" customFormat="1" ht="18.75">
      <c r="A15" s="58"/>
      <c r="B15" s="96" t="s">
        <v>135</v>
      </c>
      <c r="C15" s="92">
        <v>1</v>
      </c>
      <c r="D15" s="93"/>
      <c r="E15" s="93"/>
      <c r="F15" s="93"/>
      <c r="G15" s="93">
        <v>10</v>
      </c>
      <c r="H15" s="93"/>
      <c r="I15" s="93"/>
      <c r="J15" s="93"/>
      <c r="K15" s="94"/>
      <c r="L15" s="94"/>
      <c r="M15" s="94"/>
      <c r="N15" s="94"/>
      <c r="O15" s="95">
        <f>SUM(C15:N15)</f>
        <v>11</v>
      </c>
    </row>
    <row r="16" spans="1:15" s="12" customFormat="1" ht="18.75">
      <c r="A16" s="58"/>
      <c r="B16" s="96" t="s">
        <v>432</v>
      </c>
      <c r="C16" s="92">
        <v>1</v>
      </c>
      <c r="D16" s="93"/>
      <c r="E16" s="93"/>
      <c r="F16" s="93"/>
      <c r="G16" s="93"/>
      <c r="H16" s="93"/>
      <c r="I16" s="93"/>
      <c r="J16" s="93"/>
      <c r="K16" s="94">
        <v>10</v>
      </c>
      <c r="L16" s="94"/>
      <c r="M16" s="94"/>
      <c r="N16" s="94"/>
      <c r="O16" s="95">
        <f>SUM(C16:N16)</f>
        <v>11</v>
      </c>
    </row>
    <row r="17" spans="1:15" s="12" customFormat="1" ht="18.75">
      <c r="A17" s="58"/>
      <c r="B17" s="96" t="s">
        <v>308</v>
      </c>
      <c r="C17" s="92">
        <v>1</v>
      </c>
      <c r="D17" s="93"/>
      <c r="E17" s="93"/>
      <c r="F17" s="93"/>
      <c r="G17" s="93"/>
      <c r="H17" s="93"/>
      <c r="I17" s="93"/>
      <c r="J17" s="93"/>
      <c r="K17" s="94"/>
      <c r="L17" s="94">
        <v>10</v>
      </c>
      <c r="M17" s="94"/>
      <c r="N17" s="94"/>
      <c r="O17" s="95">
        <f>SUM(C17:N17)</f>
        <v>11</v>
      </c>
    </row>
    <row r="18" spans="1:15" s="12" customFormat="1" ht="18.75">
      <c r="A18" s="58"/>
      <c r="B18" s="96" t="s">
        <v>116</v>
      </c>
      <c r="C18" s="92">
        <v>1</v>
      </c>
      <c r="D18" s="93"/>
      <c r="E18" s="93"/>
      <c r="F18" s="93">
        <v>10</v>
      </c>
      <c r="G18" s="93"/>
      <c r="H18" s="93"/>
      <c r="I18" s="93"/>
      <c r="J18" s="93"/>
      <c r="K18" s="94"/>
      <c r="L18" s="94"/>
      <c r="M18" s="94"/>
      <c r="N18" s="94"/>
      <c r="O18" s="95">
        <f>SUM(C18:N18)</f>
        <v>11</v>
      </c>
    </row>
    <row r="19" spans="1:15" s="57" customFormat="1" ht="18.75">
      <c r="A19" s="58" t="s">
        <v>20</v>
      </c>
      <c r="B19" s="96" t="s">
        <v>137</v>
      </c>
      <c r="C19" s="97">
        <v>5</v>
      </c>
      <c r="D19" s="98"/>
      <c r="E19" s="98"/>
      <c r="F19" s="98"/>
      <c r="G19" s="98">
        <v>5</v>
      </c>
      <c r="H19" s="98"/>
      <c r="I19" s="98"/>
      <c r="J19" s="98"/>
      <c r="K19" s="99"/>
      <c r="L19" s="99"/>
      <c r="M19" s="99"/>
      <c r="N19" s="99"/>
      <c r="O19" s="95">
        <f>SUM(C19:N19)</f>
        <v>10</v>
      </c>
    </row>
    <row r="20" spans="1:15" ht="18.75">
      <c r="A20" s="58" t="s">
        <v>21</v>
      </c>
      <c r="B20" s="96" t="s">
        <v>87</v>
      </c>
      <c r="C20" s="97">
        <v>3</v>
      </c>
      <c r="D20" s="98"/>
      <c r="E20" s="98"/>
      <c r="F20" s="98">
        <v>4</v>
      </c>
      <c r="G20" s="98">
        <v>3</v>
      </c>
      <c r="H20" s="98"/>
      <c r="I20" s="98"/>
      <c r="J20" s="98"/>
      <c r="K20" s="99"/>
      <c r="L20" s="99"/>
      <c r="M20" s="99"/>
      <c r="N20" s="99"/>
      <c r="O20" s="95">
        <f>SUM(C20:N20)</f>
        <v>10</v>
      </c>
    </row>
    <row r="21" spans="1:15" ht="18.75">
      <c r="A21" s="58" t="s">
        <v>22</v>
      </c>
      <c r="B21" s="96" t="s">
        <v>154</v>
      </c>
      <c r="C21" s="97">
        <v>2</v>
      </c>
      <c r="D21" s="98"/>
      <c r="E21" s="98"/>
      <c r="F21" s="98"/>
      <c r="G21" s="98"/>
      <c r="H21" s="98">
        <v>8</v>
      </c>
      <c r="I21" s="98"/>
      <c r="J21" s="98"/>
      <c r="K21" s="99"/>
      <c r="L21" s="99"/>
      <c r="M21" s="99"/>
      <c r="N21" s="99"/>
      <c r="O21" s="100">
        <f>SUM(C21:N21)</f>
        <v>10</v>
      </c>
    </row>
    <row r="22" spans="1:15" ht="18.75">
      <c r="A22" s="58" t="s">
        <v>23</v>
      </c>
      <c r="B22" s="96" t="s">
        <v>76</v>
      </c>
      <c r="C22" s="97">
        <v>3</v>
      </c>
      <c r="D22" s="98"/>
      <c r="E22" s="98">
        <v>6</v>
      </c>
      <c r="F22" s="98"/>
      <c r="G22" s="98"/>
      <c r="H22" s="98"/>
      <c r="I22" s="98"/>
      <c r="J22" s="98"/>
      <c r="K22" s="99"/>
      <c r="L22" s="99"/>
      <c r="M22" s="99"/>
      <c r="N22" s="99"/>
      <c r="O22" s="100">
        <f>SUM(C22:N22)</f>
        <v>9</v>
      </c>
    </row>
    <row r="23" spans="1:15" ht="18.75">
      <c r="A23" s="58"/>
      <c r="B23" s="96" t="s">
        <v>63</v>
      </c>
      <c r="C23" s="97">
        <v>3</v>
      </c>
      <c r="D23" s="98">
        <v>6</v>
      </c>
      <c r="E23" s="98"/>
      <c r="F23" s="98"/>
      <c r="G23" s="98"/>
      <c r="H23" s="98"/>
      <c r="I23" s="98"/>
      <c r="J23" s="98"/>
      <c r="K23" s="99"/>
      <c r="L23" s="99"/>
      <c r="M23" s="99"/>
      <c r="N23" s="99"/>
      <c r="O23" s="100">
        <f>SUM(C23:N23)</f>
        <v>9</v>
      </c>
    </row>
    <row r="24" spans="1:15" ht="18.75">
      <c r="A24" s="58" t="s">
        <v>25</v>
      </c>
      <c r="B24" s="96" t="s">
        <v>195</v>
      </c>
      <c r="C24" s="97">
        <v>1</v>
      </c>
      <c r="D24" s="98"/>
      <c r="E24" s="98"/>
      <c r="F24" s="98"/>
      <c r="G24" s="98"/>
      <c r="H24" s="98"/>
      <c r="I24" s="98">
        <v>8</v>
      </c>
      <c r="J24" s="98"/>
      <c r="K24" s="99"/>
      <c r="L24" s="99"/>
      <c r="M24" s="99"/>
      <c r="N24" s="99"/>
      <c r="O24" s="100">
        <f>SUM(C24:N24)</f>
        <v>9</v>
      </c>
    </row>
    <row r="25" spans="1:15" ht="18.75">
      <c r="A25" s="58"/>
      <c r="B25" s="96" t="s">
        <v>317</v>
      </c>
      <c r="C25" s="97">
        <v>1</v>
      </c>
      <c r="D25" s="98"/>
      <c r="E25" s="98"/>
      <c r="F25" s="98"/>
      <c r="G25" s="98"/>
      <c r="H25" s="98"/>
      <c r="I25" s="98"/>
      <c r="J25" s="98"/>
      <c r="K25" s="99"/>
      <c r="L25" s="99">
        <v>8</v>
      </c>
      <c r="M25" s="99"/>
      <c r="N25" s="99"/>
      <c r="O25" s="100">
        <f>SUM(C25:N25)</f>
        <v>9</v>
      </c>
    </row>
    <row r="26" spans="1:15" ht="18.75">
      <c r="A26" s="58"/>
      <c r="B26" s="96" t="s">
        <v>433</v>
      </c>
      <c r="C26" s="97">
        <v>1</v>
      </c>
      <c r="D26" s="98"/>
      <c r="E26" s="98"/>
      <c r="F26" s="98"/>
      <c r="G26" s="98"/>
      <c r="H26" s="98"/>
      <c r="I26" s="98"/>
      <c r="J26" s="98"/>
      <c r="K26" s="99">
        <v>8</v>
      </c>
      <c r="L26" s="99"/>
      <c r="M26" s="99"/>
      <c r="N26" s="99"/>
      <c r="O26" s="100">
        <f>SUM(C26:N26)</f>
        <v>9</v>
      </c>
    </row>
    <row r="27" spans="1:15" ht="18.75">
      <c r="A27" s="58" t="s">
        <v>30</v>
      </c>
      <c r="B27" s="96" t="s">
        <v>67</v>
      </c>
      <c r="C27" s="97">
        <v>4</v>
      </c>
      <c r="D27" s="98"/>
      <c r="E27" s="98">
        <v>4</v>
      </c>
      <c r="F27" s="98"/>
      <c r="G27" s="98"/>
      <c r="H27" s="98"/>
      <c r="I27" s="98"/>
      <c r="J27" s="98"/>
      <c r="K27" s="99"/>
      <c r="L27" s="99"/>
      <c r="M27" s="99"/>
      <c r="N27" s="99"/>
      <c r="O27" s="100">
        <f>SUM(C27:N27)</f>
        <v>8</v>
      </c>
    </row>
    <row r="28" spans="1:15" ht="18.75">
      <c r="A28" s="58" t="s">
        <v>49</v>
      </c>
      <c r="B28" s="96" t="s">
        <v>99</v>
      </c>
      <c r="C28" s="97">
        <v>2</v>
      </c>
      <c r="D28" s="98"/>
      <c r="E28" s="98"/>
      <c r="F28" s="98"/>
      <c r="G28" s="98">
        <v>6</v>
      </c>
      <c r="H28" s="98"/>
      <c r="I28" s="98"/>
      <c r="J28" s="98"/>
      <c r="K28" s="99"/>
      <c r="L28" s="99"/>
      <c r="M28" s="99"/>
      <c r="N28" s="99"/>
      <c r="O28" s="100">
        <f>SUM(C28:N28)</f>
        <v>8</v>
      </c>
    </row>
    <row r="29" spans="1:15" ht="18.75">
      <c r="A29" s="58" t="s">
        <v>50</v>
      </c>
      <c r="B29" s="96" t="s">
        <v>157</v>
      </c>
      <c r="C29" s="97">
        <v>4</v>
      </c>
      <c r="D29" s="98"/>
      <c r="E29" s="98"/>
      <c r="F29" s="98"/>
      <c r="G29" s="98"/>
      <c r="H29" s="98"/>
      <c r="I29" s="98"/>
      <c r="J29" s="98"/>
      <c r="K29" s="99"/>
      <c r="L29" s="99"/>
      <c r="M29" s="99">
        <v>3</v>
      </c>
      <c r="N29" s="99"/>
      <c r="O29" s="100">
        <f>SUM(C29:N29)</f>
        <v>7</v>
      </c>
    </row>
    <row r="30" spans="1:15" ht="18.75">
      <c r="A30" s="58" t="s">
        <v>51</v>
      </c>
      <c r="B30" s="96" t="s">
        <v>138</v>
      </c>
      <c r="C30" s="97">
        <v>3</v>
      </c>
      <c r="D30" s="98"/>
      <c r="E30" s="98"/>
      <c r="F30" s="98"/>
      <c r="G30" s="98">
        <v>4</v>
      </c>
      <c r="H30" s="98"/>
      <c r="I30" s="98"/>
      <c r="J30" s="98"/>
      <c r="K30" s="99"/>
      <c r="L30" s="99"/>
      <c r="M30" s="99"/>
      <c r="N30" s="99"/>
      <c r="O30" s="100">
        <f>SUM(C30:N30)</f>
        <v>7</v>
      </c>
    </row>
    <row r="31" spans="1:15" ht="18.75">
      <c r="A31" s="58" t="s">
        <v>117</v>
      </c>
      <c r="B31" s="96" t="s">
        <v>214</v>
      </c>
      <c r="C31" s="97">
        <v>2</v>
      </c>
      <c r="D31" s="98"/>
      <c r="E31" s="98"/>
      <c r="F31" s="98"/>
      <c r="G31" s="98"/>
      <c r="H31" s="98"/>
      <c r="I31" s="98"/>
      <c r="J31" s="98">
        <v>5</v>
      </c>
      <c r="K31" s="99"/>
      <c r="L31" s="99"/>
      <c r="M31" s="99"/>
      <c r="N31" s="99"/>
      <c r="O31" s="100">
        <f>SUM(C31:N31)</f>
        <v>7</v>
      </c>
    </row>
    <row r="32" spans="1:15" ht="18.75">
      <c r="A32" s="58"/>
      <c r="B32" s="96" t="s">
        <v>95</v>
      </c>
      <c r="C32" s="97">
        <v>2</v>
      </c>
      <c r="D32" s="98"/>
      <c r="E32" s="98"/>
      <c r="F32" s="98">
        <v>5</v>
      </c>
      <c r="G32" s="98"/>
      <c r="H32" s="98"/>
      <c r="I32" s="98"/>
      <c r="J32" s="98"/>
      <c r="K32" s="99"/>
      <c r="L32" s="99"/>
      <c r="M32" s="99"/>
      <c r="N32" s="99"/>
      <c r="O32" s="100">
        <f>SUM(C32:N32)</f>
        <v>7</v>
      </c>
    </row>
    <row r="33" spans="1:15" ht="18.75">
      <c r="A33" s="58" t="s">
        <v>119</v>
      </c>
      <c r="B33" s="96" t="s">
        <v>230</v>
      </c>
      <c r="C33" s="97">
        <v>1</v>
      </c>
      <c r="D33" s="98"/>
      <c r="E33" s="98"/>
      <c r="F33" s="98"/>
      <c r="G33" s="98"/>
      <c r="H33" s="98"/>
      <c r="I33" s="98">
        <v>6</v>
      </c>
      <c r="J33" s="98"/>
      <c r="K33" s="99"/>
      <c r="L33" s="99"/>
      <c r="M33" s="99"/>
      <c r="N33" s="99"/>
      <c r="O33" s="100">
        <f>SUM(C33:N33)</f>
        <v>7</v>
      </c>
    </row>
    <row r="34" spans="1:15" ht="18.75">
      <c r="A34" s="58"/>
      <c r="B34" s="96" t="s">
        <v>309</v>
      </c>
      <c r="C34" s="97">
        <v>1</v>
      </c>
      <c r="D34" s="98"/>
      <c r="E34" s="98"/>
      <c r="F34" s="98"/>
      <c r="G34" s="98"/>
      <c r="H34" s="98"/>
      <c r="I34" s="98"/>
      <c r="J34" s="98"/>
      <c r="K34" s="99"/>
      <c r="L34" s="99">
        <v>6</v>
      </c>
      <c r="M34" s="99"/>
      <c r="N34" s="99"/>
      <c r="O34" s="100">
        <f>SUM(C34:N34)</f>
        <v>7</v>
      </c>
    </row>
    <row r="35" spans="1:15" ht="18.75">
      <c r="A35" s="58"/>
      <c r="B35" s="96" t="s">
        <v>434</v>
      </c>
      <c r="C35" s="97">
        <v>1</v>
      </c>
      <c r="D35" s="98"/>
      <c r="E35" s="98"/>
      <c r="F35" s="98"/>
      <c r="G35" s="98"/>
      <c r="H35" s="98"/>
      <c r="I35" s="98"/>
      <c r="J35" s="98"/>
      <c r="K35" s="99">
        <v>6</v>
      </c>
      <c r="L35" s="99"/>
      <c r="M35" s="99"/>
      <c r="N35" s="99"/>
      <c r="O35" s="100">
        <f>SUM(C35:N35)</f>
        <v>7</v>
      </c>
    </row>
    <row r="36" spans="1:15" ht="18.75">
      <c r="A36" s="58"/>
      <c r="B36" s="96" t="s">
        <v>108</v>
      </c>
      <c r="C36" s="97">
        <v>1</v>
      </c>
      <c r="D36" s="98"/>
      <c r="E36" s="98"/>
      <c r="F36" s="98">
        <v>6</v>
      </c>
      <c r="G36" s="98"/>
      <c r="H36" s="98"/>
      <c r="I36" s="98"/>
      <c r="J36" s="98"/>
      <c r="K36" s="99"/>
      <c r="L36" s="99"/>
      <c r="M36" s="99"/>
      <c r="N36" s="99"/>
      <c r="O36" s="100">
        <f>SUM(C36:N36)</f>
        <v>7</v>
      </c>
    </row>
    <row r="37" spans="1:15" ht="18.75">
      <c r="A37" s="58" t="s">
        <v>166</v>
      </c>
      <c r="B37" s="96" t="s">
        <v>75</v>
      </c>
      <c r="C37" s="97">
        <v>3</v>
      </c>
      <c r="D37" s="98"/>
      <c r="E37" s="98"/>
      <c r="F37" s="98">
        <v>3</v>
      </c>
      <c r="G37" s="98"/>
      <c r="H37" s="98"/>
      <c r="I37" s="98"/>
      <c r="J37" s="98"/>
      <c r="K37" s="99"/>
      <c r="L37" s="99"/>
      <c r="M37" s="99"/>
      <c r="N37" s="99"/>
      <c r="O37" s="100">
        <f>SUM(C37:N37)</f>
        <v>6</v>
      </c>
    </row>
    <row r="38" spans="1:15" ht="18.75">
      <c r="A38" s="58"/>
      <c r="B38" s="96" t="s">
        <v>61</v>
      </c>
      <c r="C38" s="97">
        <v>3</v>
      </c>
      <c r="D38" s="98">
        <v>3</v>
      </c>
      <c r="E38" s="98"/>
      <c r="F38" s="98"/>
      <c r="G38" s="98"/>
      <c r="H38" s="98"/>
      <c r="I38" s="98"/>
      <c r="J38" s="98"/>
      <c r="K38" s="99"/>
      <c r="L38" s="99"/>
      <c r="M38" s="99"/>
      <c r="N38" s="99"/>
      <c r="O38" s="100">
        <f>SUM(C38:N38)</f>
        <v>6</v>
      </c>
    </row>
    <row r="39" spans="1:15" ht="18.75">
      <c r="A39" s="58" t="s">
        <v>124</v>
      </c>
      <c r="B39" s="96" t="s">
        <v>442</v>
      </c>
      <c r="C39" s="97">
        <v>2</v>
      </c>
      <c r="D39" s="98"/>
      <c r="E39" s="98"/>
      <c r="F39" s="98"/>
      <c r="G39" s="98"/>
      <c r="H39" s="98"/>
      <c r="I39" s="98"/>
      <c r="J39" s="98"/>
      <c r="K39" s="99"/>
      <c r="L39" s="99"/>
      <c r="M39" s="99">
        <v>4</v>
      </c>
      <c r="N39" s="99"/>
      <c r="O39" s="100">
        <f>SUM(C39:N39)</f>
        <v>6</v>
      </c>
    </row>
    <row r="40" spans="1:15" ht="18.75">
      <c r="A40" s="58"/>
      <c r="B40" s="96" t="s">
        <v>258</v>
      </c>
      <c r="C40" s="97">
        <v>2</v>
      </c>
      <c r="D40" s="98"/>
      <c r="E40" s="98"/>
      <c r="F40" s="98"/>
      <c r="G40" s="98"/>
      <c r="H40" s="98"/>
      <c r="I40" s="98"/>
      <c r="J40" s="98">
        <v>4</v>
      </c>
      <c r="K40" s="99"/>
      <c r="L40" s="99"/>
      <c r="M40" s="99"/>
      <c r="N40" s="99"/>
      <c r="O40" s="100">
        <f>SUM(C40:N40)</f>
        <v>6</v>
      </c>
    </row>
    <row r="41" spans="1:15" ht="18.75">
      <c r="A41" s="58" t="s">
        <v>126</v>
      </c>
      <c r="B41" s="96" t="s">
        <v>228</v>
      </c>
      <c r="C41" s="97">
        <v>1</v>
      </c>
      <c r="D41" s="98"/>
      <c r="E41" s="98"/>
      <c r="F41" s="98"/>
      <c r="G41" s="98"/>
      <c r="H41" s="98"/>
      <c r="I41" s="98">
        <v>5</v>
      </c>
      <c r="J41" s="98"/>
      <c r="K41" s="99"/>
      <c r="L41" s="99"/>
      <c r="M41" s="99"/>
      <c r="N41" s="99"/>
      <c r="O41" s="100">
        <f>SUM(C41:N41)</f>
        <v>6</v>
      </c>
    </row>
    <row r="42" spans="1:15" ht="18.75">
      <c r="A42" s="58"/>
      <c r="B42" s="96" t="s">
        <v>66</v>
      </c>
      <c r="C42" s="97">
        <v>1</v>
      </c>
      <c r="D42" s="98"/>
      <c r="E42" s="98">
        <v>5</v>
      </c>
      <c r="F42" s="98"/>
      <c r="G42" s="98"/>
      <c r="H42" s="98"/>
      <c r="I42" s="98"/>
      <c r="J42" s="98"/>
      <c r="K42" s="99"/>
      <c r="L42" s="99"/>
      <c r="M42" s="99"/>
      <c r="N42" s="99"/>
      <c r="O42" s="100">
        <f>SUM(C42:N42)</f>
        <v>6</v>
      </c>
    </row>
    <row r="43" spans="1:15" ht="18.75">
      <c r="A43" s="58"/>
      <c r="B43" s="96" t="s">
        <v>310</v>
      </c>
      <c r="C43" s="97">
        <v>1</v>
      </c>
      <c r="D43" s="98"/>
      <c r="E43" s="98"/>
      <c r="F43" s="98"/>
      <c r="G43" s="98"/>
      <c r="H43" s="98"/>
      <c r="I43" s="98"/>
      <c r="J43" s="98"/>
      <c r="K43" s="99"/>
      <c r="L43" s="99">
        <v>5</v>
      </c>
      <c r="M43" s="99"/>
      <c r="N43" s="99"/>
      <c r="O43" s="100">
        <f>SUM(C43:N43)</f>
        <v>6</v>
      </c>
    </row>
    <row r="44" spans="1:15" ht="18.75">
      <c r="A44" s="58"/>
      <c r="B44" s="96" t="s">
        <v>435</v>
      </c>
      <c r="C44" s="97">
        <v>1</v>
      </c>
      <c r="D44" s="98"/>
      <c r="E44" s="98"/>
      <c r="F44" s="98"/>
      <c r="G44" s="98"/>
      <c r="H44" s="98"/>
      <c r="I44" s="98"/>
      <c r="J44" s="98"/>
      <c r="K44" s="99">
        <v>5</v>
      </c>
      <c r="L44" s="99"/>
      <c r="M44" s="99"/>
      <c r="N44" s="99"/>
      <c r="O44" s="100">
        <f>SUM(C44:N44)</f>
        <v>6</v>
      </c>
    </row>
    <row r="45" spans="1:15" ht="18.75">
      <c r="A45" s="58" t="s">
        <v>130</v>
      </c>
      <c r="B45" s="96" t="s">
        <v>326</v>
      </c>
      <c r="C45" s="97">
        <v>2</v>
      </c>
      <c r="D45" s="98"/>
      <c r="E45" s="98"/>
      <c r="F45" s="98"/>
      <c r="G45" s="98"/>
      <c r="H45" s="98"/>
      <c r="I45" s="98"/>
      <c r="J45" s="98"/>
      <c r="K45" s="99">
        <v>3</v>
      </c>
      <c r="L45" s="99"/>
      <c r="M45" s="99"/>
      <c r="N45" s="99"/>
      <c r="O45" s="100">
        <f>SUM(C45:N45)</f>
        <v>5</v>
      </c>
    </row>
    <row r="46" spans="1:15" ht="18.75">
      <c r="A46" s="225" t="s">
        <v>131</v>
      </c>
      <c r="B46" s="96" t="s">
        <v>438</v>
      </c>
      <c r="C46" s="97">
        <v>1</v>
      </c>
      <c r="D46" s="98"/>
      <c r="E46" s="98"/>
      <c r="F46" s="98"/>
      <c r="G46" s="98"/>
      <c r="H46" s="98"/>
      <c r="I46" s="98"/>
      <c r="J46" s="98"/>
      <c r="K46" s="99">
        <v>4</v>
      </c>
      <c r="L46" s="99"/>
      <c r="M46" s="99"/>
      <c r="N46" s="99"/>
      <c r="O46" s="100">
        <f>SUM(C46:N46)</f>
        <v>5</v>
      </c>
    </row>
    <row r="47" spans="1:15" ht="18.75">
      <c r="A47" s="224"/>
      <c r="B47" s="96" t="s">
        <v>311</v>
      </c>
      <c r="C47" s="97">
        <v>1</v>
      </c>
      <c r="D47" s="98"/>
      <c r="E47" s="98"/>
      <c r="F47" s="98"/>
      <c r="G47" s="98"/>
      <c r="H47" s="98"/>
      <c r="I47" s="98"/>
      <c r="J47" s="98"/>
      <c r="K47" s="99"/>
      <c r="L47" s="99">
        <v>4</v>
      </c>
      <c r="M47" s="99"/>
      <c r="N47" s="99"/>
      <c r="O47" s="100">
        <f>SUM(C47:N47)</f>
        <v>5</v>
      </c>
    </row>
    <row r="48" spans="1:15" ht="18.75">
      <c r="A48" s="224"/>
      <c r="B48" s="96" t="s">
        <v>162</v>
      </c>
      <c r="C48" s="97">
        <v>1</v>
      </c>
      <c r="D48" s="98"/>
      <c r="E48" s="98"/>
      <c r="F48" s="98"/>
      <c r="G48" s="98"/>
      <c r="H48" s="98">
        <v>4</v>
      </c>
      <c r="I48" s="98"/>
      <c r="J48" s="98"/>
      <c r="K48" s="99"/>
      <c r="L48" s="99"/>
      <c r="M48" s="99"/>
      <c r="N48" s="99"/>
      <c r="O48" s="100">
        <f>SUM(C48:N48)</f>
        <v>5</v>
      </c>
    </row>
    <row r="49" spans="1:15" ht="18.75">
      <c r="A49" s="225" t="s">
        <v>134</v>
      </c>
      <c r="B49" s="223" t="s">
        <v>312</v>
      </c>
      <c r="C49" s="97">
        <v>1</v>
      </c>
      <c r="D49" s="98"/>
      <c r="E49" s="98"/>
      <c r="F49" s="98"/>
      <c r="G49" s="98"/>
      <c r="H49" s="98"/>
      <c r="I49" s="98"/>
      <c r="J49" s="98"/>
      <c r="K49" s="99"/>
      <c r="L49" s="99">
        <v>3</v>
      </c>
      <c r="M49" s="99"/>
      <c r="N49" s="99"/>
      <c r="O49" s="100">
        <f>SUM(C49:N49)</f>
        <v>4</v>
      </c>
    </row>
    <row r="50" spans="1:15" ht="18.75">
      <c r="A50" s="225"/>
      <c r="B50" s="223" t="s">
        <v>280</v>
      </c>
      <c r="C50" s="97">
        <v>1</v>
      </c>
      <c r="D50" s="98"/>
      <c r="E50" s="98"/>
      <c r="F50" s="98"/>
      <c r="G50" s="98"/>
      <c r="H50" s="98"/>
      <c r="I50" s="98"/>
      <c r="J50" s="98">
        <v>3</v>
      </c>
      <c r="K50" s="99"/>
      <c r="L50" s="99"/>
      <c r="M50" s="99"/>
      <c r="N50" s="99"/>
      <c r="O50" s="100">
        <f>SUM(C50:N50)</f>
        <v>4</v>
      </c>
    </row>
    <row r="51" spans="1:15" ht="18.75">
      <c r="A51" s="225"/>
      <c r="B51" s="223" t="s">
        <v>193</v>
      </c>
      <c r="C51" s="97">
        <v>1</v>
      </c>
      <c r="D51" s="98"/>
      <c r="E51" s="98"/>
      <c r="F51" s="98"/>
      <c r="G51" s="98"/>
      <c r="H51" s="98"/>
      <c r="I51" s="98">
        <v>3</v>
      </c>
      <c r="J51" s="98"/>
      <c r="K51" s="99"/>
      <c r="L51" s="99"/>
      <c r="M51" s="99"/>
      <c r="N51" s="99"/>
      <c r="O51" s="100">
        <f>SUM(C51:N51)</f>
        <v>4</v>
      </c>
    </row>
  </sheetData>
  <sheetProtection/>
  <mergeCells count="1">
    <mergeCell ref="A1:O1"/>
  </mergeCells>
  <conditionalFormatting sqref="B2 C2:H51">
    <cfRule type="expression" priority="7" dxfId="16">
      <formula>A2="1."</formula>
    </cfRule>
  </conditionalFormatting>
  <conditionalFormatting sqref="C2:H51">
    <cfRule type="expression" priority="6" dxfId="16">
      <formula>"10"</formula>
    </cfRule>
  </conditionalFormatting>
  <printOptions/>
  <pageMargins left="1.5748031496062993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&amp;CVMK, 2010.04.20.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5.140625" style="0" customWidth="1"/>
    <col min="2" max="6" width="12.140625" style="71" customWidth="1"/>
    <col min="7" max="7" width="15.28125" style="78" customWidth="1"/>
  </cols>
  <sheetData>
    <row r="1" spans="1:7" ht="18.75">
      <c r="A1" s="75" t="s">
        <v>0</v>
      </c>
      <c r="B1" s="196" t="s">
        <v>188</v>
      </c>
      <c r="C1" s="196"/>
      <c r="D1" s="196"/>
      <c r="E1" s="196"/>
      <c r="F1" s="196"/>
      <c r="G1" s="76" t="s">
        <v>42</v>
      </c>
    </row>
    <row r="2" spans="1:7" ht="18.75">
      <c r="A2" s="1" t="s">
        <v>214</v>
      </c>
      <c r="B2" s="101">
        <v>0.00023148148148148146</v>
      </c>
      <c r="C2" s="101"/>
      <c r="D2" s="101"/>
      <c r="E2" s="101"/>
      <c r="F2" s="101"/>
      <c r="G2" s="76">
        <f aca="true" t="shared" si="0" ref="G2:G64">IF(COUNTA(B2:F2)=0,"",SUM(B2:F2))</f>
        <v>0.00023148148148148146</v>
      </c>
    </row>
    <row r="3" spans="1:7" ht="18.75">
      <c r="A3" t="s">
        <v>271</v>
      </c>
      <c r="B3" s="101">
        <v>0.0007638888888888889</v>
      </c>
      <c r="C3" s="101"/>
      <c r="D3" s="101"/>
      <c r="E3" s="101"/>
      <c r="F3" s="101"/>
      <c r="G3" s="76">
        <f t="shared" si="0"/>
        <v>0.0007638888888888889</v>
      </c>
    </row>
    <row r="4" spans="1:7" ht="18.75">
      <c r="A4" s="1" t="s">
        <v>144</v>
      </c>
      <c r="B4" s="101">
        <v>0.0006944444444444445</v>
      </c>
      <c r="C4" s="101"/>
      <c r="D4" s="101"/>
      <c r="E4" s="101"/>
      <c r="F4" s="101"/>
      <c r="G4" s="76">
        <f t="shared" si="0"/>
        <v>0.0006944444444444445</v>
      </c>
    </row>
    <row r="5" spans="1:7" ht="18.75">
      <c r="A5" s="1" t="s">
        <v>280</v>
      </c>
      <c r="B5" s="101">
        <v>0.0012152777777777778</v>
      </c>
      <c r="C5" s="101"/>
      <c r="D5" s="101"/>
      <c r="E5" s="101"/>
      <c r="F5" s="101"/>
      <c r="G5" s="76">
        <f t="shared" si="0"/>
        <v>0.0012152777777777778</v>
      </c>
    </row>
    <row r="6" spans="1:7" ht="18.75">
      <c r="A6" s="1" t="s">
        <v>258</v>
      </c>
      <c r="B6" s="101">
        <v>0.001388888888888889</v>
      </c>
      <c r="C6" s="101"/>
      <c r="D6" s="101"/>
      <c r="E6" s="101"/>
      <c r="F6" s="101"/>
      <c r="G6" s="76">
        <f t="shared" si="0"/>
        <v>0.001388888888888889</v>
      </c>
    </row>
    <row r="7" spans="1:7" ht="18.75">
      <c r="A7" s="1"/>
      <c r="B7" s="101"/>
      <c r="C7" s="101"/>
      <c r="D7" s="101"/>
      <c r="E7" s="101"/>
      <c r="F7" s="101"/>
      <c r="G7" s="76">
        <f t="shared" si="0"/>
      </c>
    </row>
    <row r="8" spans="1:7" ht="18.75">
      <c r="A8" s="1"/>
      <c r="B8" s="101"/>
      <c r="C8" s="101"/>
      <c r="D8" s="101"/>
      <c r="E8" s="101"/>
      <c r="F8" s="101"/>
      <c r="G8" s="76">
        <f t="shared" si="0"/>
      </c>
    </row>
    <row r="9" spans="1:7" ht="18.75">
      <c r="A9" s="1"/>
      <c r="B9" s="101"/>
      <c r="C9" s="101"/>
      <c r="D9" s="101"/>
      <c r="E9" s="101"/>
      <c r="F9" s="101"/>
      <c r="G9" s="76">
        <f t="shared" si="0"/>
      </c>
    </row>
    <row r="10" spans="1:7" ht="18.75">
      <c r="A10" s="1"/>
      <c r="B10" s="101"/>
      <c r="C10" s="101"/>
      <c r="D10" s="101"/>
      <c r="E10" s="101"/>
      <c r="F10" s="101"/>
      <c r="G10" s="76">
        <f t="shared" si="0"/>
      </c>
    </row>
    <row r="11" spans="1:7" ht="18.75">
      <c r="A11" s="1"/>
      <c r="B11" s="101"/>
      <c r="C11" s="101"/>
      <c r="D11" s="101"/>
      <c r="E11" s="101"/>
      <c r="F11" s="101"/>
      <c r="G11" s="76">
        <f t="shared" si="0"/>
      </c>
    </row>
    <row r="12" spans="1:7" ht="18.75">
      <c r="A12" s="1"/>
      <c r="B12" s="101"/>
      <c r="C12" s="101"/>
      <c r="D12" s="101"/>
      <c r="E12" s="101"/>
      <c r="F12" s="101"/>
      <c r="G12" s="76">
        <f t="shared" si="0"/>
      </c>
    </row>
    <row r="13" spans="1:7" ht="18.75">
      <c r="A13" s="1"/>
      <c r="B13" s="101"/>
      <c r="C13" s="101"/>
      <c r="D13" s="101"/>
      <c r="E13" s="101"/>
      <c r="F13" s="101"/>
      <c r="G13" s="76">
        <f t="shared" si="0"/>
      </c>
    </row>
    <row r="14" spans="1:7" ht="18.75">
      <c r="A14" s="1"/>
      <c r="B14" s="101"/>
      <c r="C14" s="101"/>
      <c r="D14" s="101"/>
      <c r="E14" s="101"/>
      <c r="F14" s="101"/>
      <c r="G14" s="76">
        <f t="shared" si="0"/>
      </c>
    </row>
    <row r="15" spans="1:7" ht="18.75">
      <c r="A15" s="1"/>
      <c r="B15" s="101"/>
      <c r="C15" s="101"/>
      <c r="D15" s="101"/>
      <c r="E15" s="101"/>
      <c r="F15" s="101"/>
      <c r="G15" s="76">
        <f t="shared" si="0"/>
      </c>
    </row>
    <row r="16" spans="1:7" ht="18.75">
      <c r="A16" s="1"/>
      <c r="B16" s="101"/>
      <c r="C16" s="101"/>
      <c r="D16" s="101"/>
      <c r="E16" s="101"/>
      <c r="F16" s="101"/>
      <c r="G16" s="76">
        <f t="shared" si="0"/>
      </c>
    </row>
    <row r="17" spans="1:7" ht="18.75">
      <c r="A17" s="1"/>
      <c r="B17" s="101"/>
      <c r="C17" s="101"/>
      <c r="D17" s="101"/>
      <c r="E17" s="101"/>
      <c r="F17" s="101"/>
      <c r="G17" s="76">
        <f t="shared" si="0"/>
      </c>
    </row>
    <row r="18" spans="1:7" ht="18.75">
      <c r="A18" s="1"/>
      <c r="B18" s="101"/>
      <c r="C18" s="101"/>
      <c r="D18" s="101"/>
      <c r="E18" s="101"/>
      <c r="F18" s="101"/>
      <c r="G18" s="76">
        <f t="shared" si="0"/>
      </c>
    </row>
    <row r="19" spans="1:7" ht="18.75">
      <c r="A19" s="1"/>
      <c r="B19" s="101"/>
      <c r="C19" s="101"/>
      <c r="D19" s="101"/>
      <c r="E19" s="101"/>
      <c r="F19" s="101"/>
      <c r="G19" s="76">
        <f t="shared" si="0"/>
      </c>
    </row>
    <row r="20" spans="1:7" ht="18.75">
      <c r="A20" s="1"/>
      <c r="B20" s="101"/>
      <c r="C20" s="101"/>
      <c r="D20" s="101"/>
      <c r="E20" s="101"/>
      <c r="F20" s="101"/>
      <c r="G20" s="76">
        <f t="shared" si="0"/>
      </c>
    </row>
    <row r="21" spans="1:7" ht="18.75">
      <c r="A21" s="1"/>
      <c r="B21" s="101"/>
      <c r="C21" s="101"/>
      <c r="D21" s="101"/>
      <c r="E21" s="101"/>
      <c r="F21" s="101"/>
      <c r="G21" s="76">
        <f t="shared" si="0"/>
      </c>
    </row>
    <row r="22" spans="1:7" ht="18.75">
      <c r="A22" s="1"/>
      <c r="B22" s="101"/>
      <c r="C22" s="101"/>
      <c r="D22" s="101"/>
      <c r="E22" s="101"/>
      <c r="F22" s="101"/>
      <c r="G22" s="76">
        <f t="shared" si="0"/>
      </c>
    </row>
    <row r="23" spans="1:7" ht="18.75">
      <c r="A23" s="1"/>
      <c r="B23" s="101"/>
      <c r="C23" s="101"/>
      <c r="D23" s="101"/>
      <c r="E23" s="101"/>
      <c r="F23" s="101"/>
      <c r="G23" s="76">
        <f t="shared" si="0"/>
      </c>
    </row>
    <row r="24" spans="1:7" ht="18.75">
      <c r="A24" s="1"/>
      <c r="B24" s="101"/>
      <c r="C24" s="101"/>
      <c r="D24" s="101"/>
      <c r="E24" s="101"/>
      <c r="F24" s="101"/>
      <c r="G24" s="76">
        <f t="shared" si="0"/>
      </c>
    </row>
    <row r="25" spans="1:7" ht="18.75">
      <c r="A25" s="1"/>
      <c r="B25" s="101"/>
      <c r="C25" s="101"/>
      <c r="D25" s="101"/>
      <c r="E25" s="101"/>
      <c r="F25" s="101"/>
      <c r="G25" s="76">
        <f t="shared" si="0"/>
      </c>
    </row>
    <row r="26" spans="1:7" ht="18.75">
      <c r="A26" s="1"/>
      <c r="B26" s="101"/>
      <c r="C26" s="101"/>
      <c r="D26" s="101"/>
      <c r="E26" s="101"/>
      <c r="F26" s="101"/>
      <c r="G26" s="76">
        <f t="shared" si="0"/>
      </c>
    </row>
    <row r="27" spans="1:7" ht="18.75">
      <c r="A27" s="1"/>
      <c r="B27" s="101"/>
      <c r="C27" s="101"/>
      <c r="D27" s="101"/>
      <c r="E27" s="101"/>
      <c r="F27" s="101"/>
      <c r="G27" s="76">
        <f t="shared" si="0"/>
      </c>
    </row>
    <row r="28" spans="1:7" ht="18.75">
      <c r="A28" s="1"/>
      <c r="B28" s="101"/>
      <c r="C28" s="101"/>
      <c r="D28" s="101"/>
      <c r="E28" s="101"/>
      <c r="F28" s="101"/>
      <c r="G28" s="76">
        <f t="shared" si="0"/>
      </c>
    </row>
    <row r="29" spans="1:7" ht="18.75">
      <c r="A29" s="1"/>
      <c r="B29" s="101"/>
      <c r="C29" s="101"/>
      <c r="D29" s="101"/>
      <c r="E29" s="101"/>
      <c r="F29" s="101"/>
      <c r="G29" s="76">
        <f t="shared" si="0"/>
      </c>
    </row>
    <row r="30" spans="1:7" ht="18.75">
      <c r="A30" s="1"/>
      <c r="B30" s="101"/>
      <c r="C30" s="101"/>
      <c r="D30" s="101"/>
      <c r="E30" s="101"/>
      <c r="F30" s="101"/>
      <c r="G30" s="76">
        <f t="shared" si="0"/>
      </c>
    </row>
    <row r="31" spans="1:7" ht="18.75">
      <c r="A31" s="1"/>
      <c r="B31" s="101"/>
      <c r="C31" s="101"/>
      <c r="D31" s="101"/>
      <c r="E31" s="101"/>
      <c r="F31" s="101"/>
      <c r="G31" s="76">
        <f t="shared" si="0"/>
      </c>
    </row>
    <row r="32" spans="1:7" ht="18.75">
      <c r="A32" s="1"/>
      <c r="B32" s="101"/>
      <c r="C32" s="101"/>
      <c r="D32" s="101"/>
      <c r="E32" s="101"/>
      <c r="F32" s="101"/>
      <c r="G32" s="76">
        <f t="shared" si="0"/>
      </c>
    </row>
    <row r="33" spans="1:7" ht="18.75">
      <c r="A33" s="1"/>
      <c r="B33" s="101"/>
      <c r="C33" s="101"/>
      <c r="D33" s="101"/>
      <c r="E33" s="101"/>
      <c r="F33" s="101"/>
      <c r="G33" s="76">
        <f t="shared" si="0"/>
      </c>
    </row>
    <row r="34" spans="1:7" ht="18.75">
      <c r="A34" s="1"/>
      <c r="B34" s="101"/>
      <c r="C34" s="101"/>
      <c r="D34" s="101"/>
      <c r="E34" s="101"/>
      <c r="F34" s="101"/>
      <c r="G34" s="76">
        <f t="shared" si="0"/>
      </c>
    </row>
    <row r="35" spans="1:7" ht="18.75">
      <c r="A35" s="1"/>
      <c r="B35" s="101"/>
      <c r="C35" s="101"/>
      <c r="D35" s="101"/>
      <c r="E35" s="101"/>
      <c r="F35" s="101"/>
      <c r="G35" s="76">
        <f t="shared" si="0"/>
      </c>
    </row>
    <row r="36" spans="1:7" ht="18.75">
      <c r="A36" s="1"/>
      <c r="B36" s="101"/>
      <c r="C36" s="101"/>
      <c r="D36" s="101"/>
      <c r="E36" s="101"/>
      <c r="F36" s="101"/>
      <c r="G36" s="76">
        <f t="shared" si="0"/>
      </c>
    </row>
    <row r="37" spans="1:7" ht="18.75">
      <c r="A37" s="1"/>
      <c r="B37" s="101"/>
      <c r="C37" s="101"/>
      <c r="D37" s="101"/>
      <c r="E37" s="101"/>
      <c r="F37" s="101"/>
      <c r="G37" s="76">
        <f t="shared" si="0"/>
      </c>
    </row>
    <row r="38" spans="1:7" ht="18.75">
      <c r="A38" s="1"/>
      <c r="B38" s="101"/>
      <c r="C38" s="101"/>
      <c r="D38" s="101"/>
      <c r="E38" s="101"/>
      <c r="F38" s="101"/>
      <c r="G38" s="76">
        <f t="shared" si="0"/>
      </c>
    </row>
    <row r="39" spans="1:7" ht="18.75">
      <c r="A39" s="1"/>
      <c r="B39" s="101"/>
      <c r="C39" s="101"/>
      <c r="D39" s="101"/>
      <c r="E39" s="101"/>
      <c r="F39" s="101"/>
      <c r="G39" s="76">
        <f t="shared" si="0"/>
      </c>
    </row>
    <row r="40" spans="1:7" ht="18.75">
      <c r="A40" s="1"/>
      <c r="B40" s="101"/>
      <c r="C40" s="101"/>
      <c r="D40" s="101"/>
      <c r="E40" s="101"/>
      <c r="F40" s="101"/>
      <c r="G40" s="76">
        <f t="shared" si="0"/>
      </c>
    </row>
    <row r="41" spans="1:7" ht="18.75">
      <c r="A41" s="1"/>
      <c r="B41" s="101"/>
      <c r="C41" s="101"/>
      <c r="D41" s="101"/>
      <c r="E41" s="101"/>
      <c r="F41" s="101"/>
      <c r="G41" s="76">
        <f t="shared" si="0"/>
      </c>
    </row>
    <row r="42" spans="1:7" ht="18.75">
      <c r="A42" s="1"/>
      <c r="B42" s="101"/>
      <c r="C42" s="101"/>
      <c r="D42" s="101"/>
      <c r="E42" s="101"/>
      <c r="F42" s="101"/>
      <c r="G42" s="76">
        <f t="shared" si="0"/>
      </c>
    </row>
    <row r="43" spans="1:7" ht="18.75">
      <c r="A43" s="1"/>
      <c r="B43" s="101"/>
      <c r="C43" s="101"/>
      <c r="D43" s="101"/>
      <c r="E43" s="101"/>
      <c r="F43" s="101"/>
      <c r="G43" s="76">
        <f t="shared" si="0"/>
      </c>
    </row>
    <row r="44" spans="1:7" ht="18.75">
      <c r="A44" s="1"/>
      <c r="B44" s="101"/>
      <c r="C44" s="101"/>
      <c r="D44" s="101"/>
      <c r="E44" s="101"/>
      <c r="F44" s="101"/>
      <c r="G44" s="76">
        <f t="shared" si="0"/>
      </c>
    </row>
    <row r="45" spans="1:7" ht="18.75">
      <c r="A45" s="1"/>
      <c r="B45" s="101"/>
      <c r="C45" s="101"/>
      <c r="D45" s="101"/>
      <c r="E45" s="101"/>
      <c r="F45" s="101"/>
      <c r="G45" s="76">
        <f t="shared" si="0"/>
      </c>
    </row>
    <row r="46" spans="1:7" ht="18.75">
      <c r="A46" s="1"/>
      <c r="B46" s="101"/>
      <c r="C46" s="101"/>
      <c r="D46" s="101"/>
      <c r="E46" s="101"/>
      <c r="F46" s="101"/>
      <c r="G46" s="76">
        <f t="shared" si="0"/>
      </c>
    </row>
    <row r="47" spans="1:7" ht="18.75">
      <c r="A47" s="1"/>
      <c r="B47" s="101"/>
      <c r="C47" s="101"/>
      <c r="D47" s="101"/>
      <c r="E47" s="101"/>
      <c r="F47" s="101"/>
      <c r="G47" s="76">
        <f t="shared" si="0"/>
      </c>
    </row>
    <row r="48" spans="1:7" ht="18.75">
      <c r="A48" s="1"/>
      <c r="B48" s="101"/>
      <c r="C48" s="101"/>
      <c r="D48" s="101"/>
      <c r="E48" s="101"/>
      <c r="F48" s="101"/>
      <c r="G48" s="76">
        <f t="shared" si="0"/>
      </c>
    </row>
    <row r="49" spans="1:7" ht="18.75">
      <c r="A49" s="1"/>
      <c r="B49" s="101"/>
      <c r="C49" s="101"/>
      <c r="D49" s="101"/>
      <c r="E49" s="101"/>
      <c r="F49" s="101"/>
      <c r="G49" s="76">
        <f t="shared" si="0"/>
      </c>
    </row>
    <row r="50" spans="1:7" ht="18.75">
      <c r="A50" s="1"/>
      <c r="B50" s="101"/>
      <c r="C50" s="101"/>
      <c r="D50" s="101"/>
      <c r="E50" s="101"/>
      <c r="F50" s="101"/>
      <c r="G50" s="76">
        <f t="shared" si="0"/>
      </c>
    </row>
    <row r="51" spans="1:7" ht="18.75">
      <c r="A51" s="1"/>
      <c r="B51" s="101"/>
      <c r="C51" s="101"/>
      <c r="D51" s="101"/>
      <c r="E51" s="101"/>
      <c r="F51" s="101"/>
      <c r="G51" s="76">
        <f t="shared" si="0"/>
      </c>
    </row>
    <row r="52" spans="1:7" ht="18.75">
      <c r="A52" s="1"/>
      <c r="B52" s="101"/>
      <c r="C52" s="101"/>
      <c r="D52" s="101"/>
      <c r="E52" s="101"/>
      <c r="F52" s="101"/>
      <c r="G52" s="76">
        <f t="shared" si="0"/>
      </c>
    </row>
    <row r="53" spans="1:7" ht="18.75">
      <c r="A53" s="1"/>
      <c r="B53" s="101"/>
      <c r="C53" s="101"/>
      <c r="D53" s="101"/>
      <c r="E53" s="101"/>
      <c r="F53" s="101"/>
      <c r="G53" s="76">
        <f t="shared" si="0"/>
      </c>
    </row>
    <row r="54" spans="1:7" ht="18.75">
      <c r="A54" s="1"/>
      <c r="B54" s="101"/>
      <c r="C54" s="101"/>
      <c r="D54" s="101"/>
      <c r="E54" s="101"/>
      <c r="F54" s="101"/>
      <c r="G54" s="76">
        <f t="shared" si="0"/>
      </c>
    </row>
    <row r="55" spans="1:7" ht="18.75">
      <c r="A55" s="1"/>
      <c r="B55" s="101"/>
      <c r="C55" s="101"/>
      <c r="D55" s="101"/>
      <c r="E55" s="101"/>
      <c r="F55" s="101"/>
      <c r="G55" s="76">
        <f t="shared" si="0"/>
      </c>
    </row>
    <row r="56" spans="1:7" ht="18.75">
      <c r="A56" s="1"/>
      <c r="B56" s="101"/>
      <c r="C56" s="101"/>
      <c r="D56" s="101"/>
      <c r="E56" s="101"/>
      <c r="F56" s="101"/>
      <c r="G56" s="76">
        <f t="shared" si="0"/>
      </c>
    </row>
    <row r="57" spans="1:7" ht="18.75">
      <c r="A57" s="1"/>
      <c r="B57" s="101"/>
      <c r="C57" s="101"/>
      <c r="D57" s="101"/>
      <c r="E57" s="101"/>
      <c r="F57" s="101"/>
      <c r="G57" s="76">
        <f t="shared" si="0"/>
      </c>
    </row>
    <row r="58" spans="1:7" ht="18.75">
      <c r="A58" s="1"/>
      <c r="B58" s="101"/>
      <c r="C58" s="101"/>
      <c r="D58" s="101"/>
      <c r="E58" s="101"/>
      <c r="F58" s="101"/>
      <c r="G58" s="76">
        <f t="shared" si="0"/>
      </c>
    </row>
    <row r="59" spans="1:7" ht="18.75">
      <c r="A59" s="1"/>
      <c r="B59" s="101"/>
      <c r="C59" s="101"/>
      <c r="D59" s="101"/>
      <c r="E59" s="101"/>
      <c r="F59" s="101"/>
      <c r="G59" s="76">
        <f t="shared" si="0"/>
      </c>
    </row>
    <row r="60" spans="1:7" ht="18.75">
      <c r="A60" s="1"/>
      <c r="B60" s="101"/>
      <c r="C60" s="101"/>
      <c r="D60" s="101"/>
      <c r="E60" s="101"/>
      <c r="F60" s="101"/>
      <c r="G60" s="76">
        <f t="shared" si="0"/>
      </c>
    </row>
    <row r="61" spans="1:7" ht="18.75">
      <c r="A61" s="1"/>
      <c r="B61" s="101"/>
      <c r="C61" s="101"/>
      <c r="D61" s="101"/>
      <c r="E61" s="101"/>
      <c r="F61" s="101"/>
      <c r="G61" s="76">
        <f t="shared" si="0"/>
      </c>
    </row>
    <row r="62" spans="1:7" ht="18.75">
      <c r="A62" s="1"/>
      <c r="B62" s="101"/>
      <c r="C62" s="101"/>
      <c r="D62" s="101"/>
      <c r="E62" s="101"/>
      <c r="F62" s="101"/>
      <c r="G62" s="76">
        <f t="shared" si="0"/>
      </c>
    </row>
    <row r="63" spans="1:7" ht="18.75">
      <c r="A63" s="1"/>
      <c r="B63" s="101"/>
      <c r="C63" s="101"/>
      <c r="D63" s="101"/>
      <c r="E63" s="101"/>
      <c r="F63" s="101"/>
      <c r="G63" s="76">
        <f t="shared" si="0"/>
      </c>
    </row>
    <row r="64" spans="1:7" ht="18.75">
      <c r="A64" s="1"/>
      <c r="B64" s="101"/>
      <c r="C64" s="101"/>
      <c r="D64" s="101"/>
      <c r="E64" s="101"/>
      <c r="F64" s="101"/>
      <c r="G64" s="76">
        <f t="shared" si="0"/>
      </c>
    </row>
    <row r="65" spans="1:7" ht="18.75">
      <c r="A65" s="1"/>
      <c r="B65" s="101"/>
      <c r="C65" s="101"/>
      <c r="D65" s="101"/>
      <c r="E65" s="101"/>
      <c r="F65" s="101"/>
      <c r="G65" s="76">
        <f>IF(COUNTA(B65:F65)=0,"",SUM(B65:F65))</f>
      </c>
    </row>
    <row r="66" spans="1:7" ht="18.75">
      <c r="A66" s="1"/>
      <c r="B66" s="101"/>
      <c r="C66" s="101"/>
      <c r="D66" s="101"/>
      <c r="E66" s="101"/>
      <c r="F66" s="101"/>
      <c r="G66" s="76">
        <f>IF(COUNTA(B66:F66)=0,"",SUM(B66:F66))</f>
      </c>
    </row>
    <row r="67" spans="1:7" ht="18.75">
      <c r="A67" s="1"/>
      <c r="B67" s="101"/>
      <c r="C67" s="101"/>
      <c r="D67" s="101"/>
      <c r="E67" s="101"/>
      <c r="F67" s="101"/>
      <c r="G67" s="76">
        <f>IF(COUNTA(B67:F67)=0,"",SUM(B67:F67))</f>
      </c>
    </row>
    <row r="68" spans="1:7" ht="18.75">
      <c r="A68" s="1"/>
      <c r="B68" s="101"/>
      <c r="C68" s="101"/>
      <c r="D68" s="101"/>
      <c r="E68" s="101"/>
      <c r="F68" s="101"/>
      <c r="G68" s="76">
        <f>IF(COUNTA(B68:F68)=0,"",SUM(B68:F68))</f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V22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18.57421875" style="0" bestFit="1" customWidth="1"/>
  </cols>
  <sheetData>
    <row r="1" spans="1:100" ht="15">
      <c r="A1" t="s">
        <v>332</v>
      </c>
      <c r="B1" t="s">
        <v>333</v>
      </c>
      <c r="C1" t="s">
        <v>334</v>
      </c>
      <c r="D1" t="s">
        <v>335</v>
      </c>
      <c r="E1" t="s">
        <v>336</v>
      </c>
      <c r="F1" t="s">
        <v>337</v>
      </c>
      <c r="G1" t="s">
        <v>338</v>
      </c>
      <c r="H1" t="s">
        <v>339</v>
      </c>
      <c r="I1" t="s">
        <v>340</v>
      </c>
      <c r="J1" t="s">
        <v>341</v>
      </c>
      <c r="K1" t="s">
        <v>342</v>
      </c>
      <c r="L1" t="s">
        <v>343</v>
      </c>
      <c r="M1" t="s">
        <v>344</v>
      </c>
      <c r="N1" t="s">
        <v>345</v>
      </c>
      <c r="O1" t="s">
        <v>346</v>
      </c>
      <c r="P1" t="s">
        <v>347</v>
      </c>
      <c r="Q1" t="s">
        <v>348</v>
      </c>
      <c r="R1" t="s">
        <v>349</v>
      </c>
      <c r="S1" t="s">
        <v>350</v>
      </c>
      <c r="T1" t="s">
        <v>351</v>
      </c>
      <c r="U1" t="s">
        <v>352</v>
      </c>
      <c r="V1" t="s">
        <v>353</v>
      </c>
      <c r="W1" t="s">
        <v>354</v>
      </c>
      <c r="X1" t="s">
        <v>355</v>
      </c>
      <c r="Y1" t="s">
        <v>356</v>
      </c>
      <c r="Z1" t="s">
        <v>357</v>
      </c>
      <c r="AA1" t="s">
        <v>358</v>
      </c>
      <c r="AB1" t="s">
        <v>359</v>
      </c>
      <c r="AC1" t="s">
        <v>360</v>
      </c>
      <c r="AD1" t="s">
        <v>361</v>
      </c>
      <c r="AE1" t="s">
        <v>362</v>
      </c>
      <c r="AF1" t="s">
        <v>363</v>
      </c>
      <c r="AG1" t="s">
        <v>364</v>
      </c>
      <c r="AH1" t="s">
        <v>365</v>
      </c>
      <c r="AI1" t="s">
        <v>366</v>
      </c>
      <c r="AJ1" t="s">
        <v>367</v>
      </c>
      <c r="AK1" t="s">
        <v>368</v>
      </c>
      <c r="AL1" t="s">
        <v>369</v>
      </c>
      <c r="AM1" t="s">
        <v>370</v>
      </c>
      <c r="AN1" t="s">
        <v>371</v>
      </c>
      <c r="AO1" t="s">
        <v>372</v>
      </c>
      <c r="AP1" t="s">
        <v>373</v>
      </c>
      <c r="AQ1" t="s">
        <v>374</v>
      </c>
      <c r="AR1" t="s">
        <v>375</v>
      </c>
      <c r="AS1" t="s">
        <v>376</v>
      </c>
      <c r="AT1" t="s">
        <v>377</v>
      </c>
      <c r="AU1" t="s">
        <v>378</v>
      </c>
      <c r="AV1" t="s">
        <v>379</v>
      </c>
      <c r="AW1" t="s">
        <v>380</v>
      </c>
      <c r="AX1" t="s">
        <v>381</v>
      </c>
      <c r="AY1" t="s">
        <v>382</v>
      </c>
      <c r="AZ1" t="s">
        <v>383</v>
      </c>
      <c r="BA1" t="s">
        <v>384</v>
      </c>
      <c r="BB1" t="s">
        <v>385</v>
      </c>
      <c r="BC1" t="s">
        <v>386</v>
      </c>
      <c r="BD1" t="s">
        <v>387</v>
      </c>
      <c r="BE1" t="s">
        <v>388</v>
      </c>
      <c r="BF1" t="s">
        <v>389</v>
      </c>
      <c r="BG1" t="s">
        <v>390</v>
      </c>
      <c r="BH1" t="s">
        <v>391</v>
      </c>
      <c r="BI1" t="s">
        <v>392</v>
      </c>
      <c r="BJ1" t="s">
        <v>393</v>
      </c>
      <c r="BK1" t="s">
        <v>394</v>
      </c>
      <c r="BL1" t="s">
        <v>395</v>
      </c>
      <c r="BM1" t="s">
        <v>396</v>
      </c>
      <c r="BN1" t="s">
        <v>397</v>
      </c>
      <c r="BO1" t="s">
        <v>398</v>
      </c>
      <c r="BP1" t="s">
        <v>399</v>
      </c>
      <c r="BQ1" t="s">
        <v>400</v>
      </c>
      <c r="BR1" t="s">
        <v>401</v>
      </c>
      <c r="BS1" t="s">
        <v>402</v>
      </c>
      <c r="BT1" t="s">
        <v>403</v>
      </c>
      <c r="BU1" t="s">
        <v>404</v>
      </c>
      <c r="BV1" t="s">
        <v>405</v>
      </c>
      <c r="BW1" t="s">
        <v>406</v>
      </c>
      <c r="BX1" t="s">
        <v>407</v>
      </c>
      <c r="BY1" t="s">
        <v>408</v>
      </c>
      <c r="BZ1" t="s">
        <v>409</v>
      </c>
      <c r="CA1" t="s">
        <v>410</v>
      </c>
      <c r="CB1" t="s">
        <v>411</v>
      </c>
      <c r="CC1" t="s">
        <v>412</v>
      </c>
      <c r="CD1" t="s">
        <v>413</v>
      </c>
      <c r="CE1" t="s">
        <v>414</v>
      </c>
      <c r="CF1" t="s">
        <v>415</v>
      </c>
      <c r="CG1" t="s">
        <v>416</v>
      </c>
      <c r="CH1" t="s">
        <v>417</v>
      </c>
      <c r="CI1" t="s">
        <v>418</v>
      </c>
      <c r="CJ1" t="s">
        <v>419</v>
      </c>
      <c r="CK1" t="s">
        <v>420</v>
      </c>
      <c r="CL1" t="s">
        <v>421</v>
      </c>
      <c r="CM1" t="s">
        <v>422</v>
      </c>
      <c r="CN1" t="s">
        <v>423</v>
      </c>
      <c r="CO1" t="s">
        <v>424</v>
      </c>
      <c r="CP1" t="s">
        <v>425</v>
      </c>
      <c r="CQ1" t="s">
        <v>426</v>
      </c>
      <c r="CR1" t="s">
        <v>427</v>
      </c>
      <c r="CS1" t="s">
        <v>428</v>
      </c>
      <c r="CT1" t="s">
        <v>429</v>
      </c>
      <c r="CU1" t="s">
        <v>430</v>
      </c>
      <c r="CV1" t="s">
        <v>431</v>
      </c>
    </row>
    <row r="2" spans="1:32" ht="15">
      <c r="A2">
        <v>45939</v>
      </c>
      <c r="B2" t="s">
        <v>432</v>
      </c>
      <c r="C2" s="190">
        <v>0.17217592592592593</v>
      </c>
      <c r="D2" s="190">
        <v>0.18159722222222222</v>
      </c>
      <c r="E2" s="190">
        <f aca="true" t="shared" si="0" ref="E2:E9">D2-C2</f>
        <v>0.009421296296296289</v>
      </c>
      <c r="F2">
        <v>13</v>
      </c>
      <c r="G2">
        <v>61</v>
      </c>
      <c r="H2" s="190">
        <v>0.17359953703703704</v>
      </c>
      <c r="I2">
        <v>62</v>
      </c>
      <c r="J2" s="190">
        <v>0.17427083333333335</v>
      </c>
      <c r="K2">
        <v>63</v>
      </c>
      <c r="L2" s="190">
        <v>0.17483796296296297</v>
      </c>
      <c r="M2">
        <v>64</v>
      </c>
      <c r="N2" s="190">
        <v>0.17528935185185188</v>
      </c>
      <c r="O2">
        <v>65</v>
      </c>
      <c r="P2" s="190">
        <v>0.1757175925925926</v>
      </c>
      <c r="Q2">
        <v>66</v>
      </c>
      <c r="R2" s="190">
        <v>0.17650462962962962</v>
      </c>
      <c r="S2">
        <v>67</v>
      </c>
      <c r="T2" s="190">
        <v>0.1773611111111111</v>
      </c>
      <c r="U2">
        <v>68</v>
      </c>
      <c r="V2" s="190">
        <v>0.17833333333333334</v>
      </c>
      <c r="W2">
        <v>69</v>
      </c>
      <c r="X2" s="190">
        <v>0.17908564814814817</v>
      </c>
      <c r="Y2">
        <v>70</v>
      </c>
      <c r="Z2" s="190">
        <v>0.17983796296296295</v>
      </c>
      <c r="AA2">
        <v>71</v>
      </c>
      <c r="AB2" s="190">
        <v>0.18108796296296295</v>
      </c>
      <c r="AC2">
        <v>72</v>
      </c>
      <c r="AD2" s="190">
        <v>0.18189814814814817</v>
      </c>
      <c r="AE2">
        <v>73</v>
      </c>
      <c r="AF2" s="190">
        <v>0.18229166666666666</v>
      </c>
    </row>
    <row r="3" spans="1:32" ht="15">
      <c r="A3">
        <v>45939</v>
      </c>
      <c r="B3" t="s">
        <v>432</v>
      </c>
      <c r="C3" s="190">
        <v>0.15493055555555554</v>
      </c>
      <c r="D3" s="190">
        <v>0.1670486111111111</v>
      </c>
      <c r="E3" s="190">
        <f t="shared" si="0"/>
        <v>0.012118055555555562</v>
      </c>
      <c r="F3">
        <v>13</v>
      </c>
      <c r="G3">
        <v>61</v>
      </c>
      <c r="H3" s="190">
        <v>0.15636574074074075</v>
      </c>
      <c r="I3">
        <v>62</v>
      </c>
      <c r="J3" s="190">
        <v>0.15703703703703703</v>
      </c>
      <c r="K3">
        <v>63</v>
      </c>
      <c r="L3" s="190">
        <v>0.1580439814814815</v>
      </c>
      <c r="M3">
        <v>64</v>
      </c>
      <c r="N3" s="190">
        <v>0.15858796296296296</v>
      </c>
      <c r="O3">
        <v>65</v>
      </c>
      <c r="P3" s="190">
        <v>0.1591087962962963</v>
      </c>
      <c r="Q3">
        <v>66</v>
      </c>
      <c r="R3" s="190">
        <v>0.16164351851851852</v>
      </c>
      <c r="S3">
        <v>67</v>
      </c>
      <c r="T3" s="190">
        <v>0.16255787037037037</v>
      </c>
      <c r="U3">
        <v>68</v>
      </c>
      <c r="V3" s="190">
        <v>0.1635648148148148</v>
      </c>
      <c r="W3">
        <v>69</v>
      </c>
      <c r="X3" s="190">
        <v>0.16429398148148147</v>
      </c>
      <c r="Y3">
        <v>70</v>
      </c>
      <c r="Z3" s="190">
        <v>0.16505787037037037</v>
      </c>
      <c r="AA3">
        <v>71</v>
      </c>
      <c r="AB3" s="190">
        <v>0.16635416666666666</v>
      </c>
      <c r="AC3">
        <v>72</v>
      </c>
      <c r="AD3" s="190">
        <v>0.16738425925925926</v>
      </c>
      <c r="AE3">
        <v>73</v>
      </c>
      <c r="AF3" s="190">
        <v>0.16774305555555555</v>
      </c>
    </row>
    <row r="4" spans="1:32" ht="15">
      <c r="A4">
        <v>502391</v>
      </c>
      <c r="B4" t="s">
        <v>433</v>
      </c>
      <c r="C4" s="190">
        <v>0.7191319444444444</v>
      </c>
      <c r="D4" s="190">
        <v>0.73375</v>
      </c>
      <c r="E4" s="190">
        <f t="shared" si="0"/>
        <v>0.01461805555555562</v>
      </c>
      <c r="F4">
        <v>13</v>
      </c>
      <c r="G4">
        <v>61</v>
      </c>
      <c r="H4" s="190">
        <v>0.7207754629629629</v>
      </c>
      <c r="I4">
        <v>62</v>
      </c>
      <c r="J4" s="190">
        <v>0.7217013888888889</v>
      </c>
      <c r="K4">
        <v>63</v>
      </c>
      <c r="L4" s="190">
        <v>0.7226273148148148</v>
      </c>
      <c r="M4">
        <v>64</v>
      </c>
      <c r="N4" s="190">
        <v>0.7232523148148148</v>
      </c>
      <c r="O4">
        <v>65</v>
      </c>
      <c r="P4" s="190">
        <v>0.7237731481481481</v>
      </c>
      <c r="Q4">
        <v>66</v>
      </c>
      <c r="R4" s="190">
        <v>0.7247106481481481</v>
      </c>
      <c r="S4">
        <v>67</v>
      </c>
      <c r="T4" s="190">
        <v>0.7274189814814815</v>
      </c>
      <c r="U4">
        <v>68</v>
      </c>
      <c r="V4" s="190">
        <v>0.7285185185185186</v>
      </c>
      <c r="W4">
        <v>69</v>
      </c>
      <c r="X4" s="190">
        <v>0.7299884259259258</v>
      </c>
      <c r="Y4">
        <v>70</v>
      </c>
      <c r="Z4" s="190">
        <v>0.7308796296296296</v>
      </c>
      <c r="AA4">
        <v>71</v>
      </c>
      <c r="AB4" s="190">
        <v>0.7324537037037038</v>
      </c>
      <c r="AC4">
        <v>72</v>
      </c>
      <c r="AD4" s="190">
        <v>0.733912037037037</v>
      </c>
      <c r="AE4">
        <v>73</v>
      </c>
      <c r="AF4" s="190">
        <v>0.7344097222222222</v>
      </c>
    </row>
    <row r="5" spans="1:32" ht="15">
      <c r="A5">
        <v>232807</v>
      </c>
      <c r="B5" t="s">
        <v>434</v>
      </c>
      <c r="C5" s="190">
        <v>0.1857986111111111</v>
      </c>
      <c r="D5" s="190">
        <v>0.20310185185185184</v>
      </c>
      <c r="E5" s="190">
        <f t="shared" si="0"/>
        <v>0.017303240740740744</v>
      </c>
      <c r="F5">
        <v>13</v>
      </c>
      <c r="G5">
        <v>61</v>
      </c>
      <c r="H5" s="190">
        <v>0.18751157407407407</v>
      </c>
      <c r="I5">
        <v>62</v>
      </c>
      <c r="J5" s="190">
        <v>0.18859953703703702</v>
      </c>
      <c r="K5">
        <v>63</v>
      </c>
      <c r="L5" s="190">
        <v>0.18938657407407408</v>
      </c>
      <c r="M5">
        <v>64</v>
      </c>
      <c r="N5" s="190">
        <v>0.1900347222222222</v>
      </c>
      <c r="O5">
        <v>65</v>
      </c>
      <c r="P5" s="190">
        <v>0.19062500000000002</v>
      </c>
      <c r="Q5">
        <v>66</v>
      </c>
      <c r="R5" s="190">
        <v>0.1918634259259259</v>
      </c>
      <c r="S5">
        <v>67</v>
      </c>
      <c r="T5" s="190">
        <v>0.19313657407407406</v>
      </c>
      <c r="U5">
        <v>68</v>
      </c>
      <c r="V5" s="190">
        <v>0.19444444444444445</v>
      </c>
      <c r="W5">
        <v>69</v>
      </c>
      <c r="X5" s="190">
        <v>0.19605324074074074</v>
      </c>
      <c r="Y5">
        <v>70</v>
      </c>
      <c r="Z5" s="190">
        <v>0.19717592592592592</v>
      </c>
      <c r="AA5">
        <v>71</v>
      </c>
      <c r="AB5" s="190">
        <v>0.19920138888888891</v>
      </c>
      <c r="AC5">
        <v>72</v>
      </c>
      <c r="AD5" s="190">
        <v>0.2031828703703704</v>
      </c>
      <c r="AE5">
        <v>73</v>
      </c>
      <c r="AF5" s="190">
        <v>0.20372685185185188</v>
      </c>
    </row>
    <row r="6" spans="1:32" ht="15">
      <c r="A6">
        <v>332852</v>
      </c>
      <c r="B6" t="s">
        <v>435</v>
      </c>
      <c r="C6" s="190">
        <v>0.15297453703703703</v>
      </c>
      <c r="D6" s="190">
        <v>0.17123842592592595</v>
      </c>
      <c r="E6" s="190">
        <f t="shared" si="0"/>
        <v>0.018263888888888913</v>
      </c>
      <c r="F6">
        <v>13</v>
      </c>
      <c r="G6">
        <v>61</v>
      </c>
      <c r="H6" s="190">
        <v>0.15488425925925928</v>
      </c>
      <c r="I6">
        <v>62</v>
      </c>
      <c r="J6" s="190">
        <v>0.1566550925925926</v>
      </c>
      <c r="K6">
        <v>63</v>
      </c>
      <c r="L6" s="190">
        <v>0.1580787037037037</v>
      </c>
      <c r="M6">
        <v>64</v>
      </c>
      <c r="N6" s="190">
        <v>0.15876157407407407</v>
      </c>
      <c r="O6">
        <v>65</v>
      </c>
      <c r="P6" s="190">
        <v>0.1594560185185185</v>
      </c>
      <c r="Q6">
        <v>66</v>
      </c>
      <c r="R6" s="190">
        <v>0.16074074074074074</v>
      </c>
      <c r="S6">
        <v>67</v>
      </c>
      <c r="T6" s="190">
        <v>0.16210648148148146</v>
      </c>
      <c r="U6">
        <v>68</v>
      </c>
      <c r="V6" s="190">
        <v>0.16374999999999998</v>
      </c>
      <c r="W6">
        <v>69</v>
      </c>
      <c r="X6" s="190">
        <v>0.16625</v>
      </c>
      <c r="Y6">
        <v>70</v>
      </c>
      <c r="Z6" s="190">
        <v>0.1676851851851852</v>
      </c>
      <c r="AA6">
        <v>71</v>
      </c>
      <c r="AB6" s="190">
        <v>0.1696296296296296</v>
      </c>
      <c r="AC6">
        <v>72</v>
      </c>
      <c r="AD6" s="190">
        <v>0.17121527777777779</v>
      </c>
      <c r="AE6">
        <v>73</v>
      </c>
      <c r="AF6" s="190">
        <v>0.17180555555555554</v>
      </c>
    </row>
    <row r="7" spans="1:32" ht="15">
      <c r="A7">
        <v>45866</v>
      </c>
      <c r="B7" t="s">
        <v>438</v>
      </c>
      <c r="C7" s="190">
        <v>0.1683564814814815</v>
      </c>
      <c r="D7" s="190">
        <v>0.18746527777777777</v>
      </c>
      <c r="E7" s="190">
        <f t="shared" si="0"/>
        <v>0.019108796296296277</v>
      </c>
      <c r="F7">
        <v>13</v>
      </c>
      <c r="G7">
        <v>61</v>
      </c>
      <c r="H7" s="190">
        <v>0.17001157407407408</v>
      </c>
      <c r="I7">
        <v>62</v>
      </c>
      <c r="J7" s="190">
        <v>0.1725925925925926</v>
      </c>
      <c r="K7">
        <v>63</v>
      </c>
      <c r="L7" s="190">
        <v>0.1745486111111111</v>
      </c>
      <c r="M7">
        <v>64</v>
      </c>
      <c r="N7" s="190">
        <v>0.17533564814814814</v>
      </c>
      <c r="O7">
        <v>65</v>
      </c>
      <c r="P7" s="190">
        <v>0.1763310185185185</v>
      </c>
      <c r="Q7">
        <v>66</v>
      </c>
      <c r="R7" s="190">
        <v>0.17748842592592592</v>
      </c>
      <c r="S7">
        <v>67</v>
      </c>
      <c r="T7" s="190">
        <v>0.17856481481481482</v>
      </c>
      <c r="U7">
        <v>68</v>
      </c>
      <c r="V7" s="190">
        <v>0.1807986111111111</v>
      </c>
      <c r="W7">
        <v>69</v>
      </c>
      <c r="X7" s="190">
        <v>0.1826388888888889</v>
      </c>
      <c r="Y7">
        <v>70</v>
      </c>
      <c r="Z7" s="190">
        <v>0.1841898148148148</v>
      </c>
      <c r="AA7">
        <v>71</v>
      </c>
      <c r="AB7" s="190">
        <v>0.18614583333333334</v>
      </c>
      <c r="AC7">
        <v>72</v>
      </c>
      <c r="AD7" s="190">
        <v>0.18729166666666666</v>
      </c>
      <c r="AE7">
        <v>73</v>
      </c>
      <c r="AF7" s="190">
        <v>0.18813657407407405</v>
      </c>
    </row>
    <row r="8" spans="1:32" ht="15">
      <c r="A8">
        <v>502391</v>
      </c>
      <c r="B8" t="s">
        <v>433</v>
      </c>
      <c r="C8" s="190">
        <v>0.6792939814814815</v>
      </c>
      <c r="D8" s="190">
        <v>0.7030555555555557</v>
      </c>
      <c r="E8" s="190">
        <f t="shared" si="0"/>
        <v>0.0237615740740742</v>
      </c>
      <c r="F8">
        <v>13</v>
      </c>
      <c r="G8">
        <v>61</v>
      </c>
      <c r="H8" s="190">
        <v>0.6815625000000001</v>
      </c>
      <c r="I8">
        <v>62</v>
      </c>
      <c r="J8" s="190">
        <v>0.6835069444444444</v>
      </c>
      <c r="K8">
        <v>63</v>
      </c>
      <c r="L8" s="190">
        <v>0.6849768518518519</v>
      </c>
      <c r="M8">
        <v>64</v>
      </c>
      <c r="N8" s="190">
        <v>0.6857407407407408</v>
      </c>
      <c r="O8">
        <v>65</v>
      </c>
      <c r="P8" s="190">
        <v>0.6863425925925926</v>
      </c>
      <c r="Q8">
        <v>66</v>
      </c>
      <c r="R8" s="190">
        <v>0.6885300925925927</v>
      </c>
      <c r="S8">
        <v>67</v>
      </c>
      <c r="T8" s="190">
        <v>0.6899305555555556</v>
      </c>
      <c r="U8">
        <v>68</v>
      </c>
      <c r="V8" s="190">
        <v>0.696388888888889</v>
      </c>
      <c r="W8">
        <v>69</v>
      </c>
      <c r="X8" s="190">
        <v>0.6980787037037036</v>
      </c>
      <c r="Y8">
        <v>70</v>
      </c>
      <c r="Z8" s="190">
        <v>0.699224537037037</v>
      </c>
      <c r="AA8">
        <v>71</v>
      </c>
      <c r="AB8" s="190">
        <v>0.7010879629629629</v>
      </c>
      <c r="AC8">
        <v>72</v>
      </c>
      <c r="AD8" s="190">
        <v>0.7032175925925926</v>
      </c>
      <c r="AE8">
        <v>73</v>
      </c>
      <c r="AF8" s="190">
        <v>0.7037152777777779</v>
      </c>
    </row>
    <row r="9" spans="1:34" ht="15">
      <c r="A9">
        <v>222984</v>
      </c>
      <c r="B9" t="s">
        <v>326</v>
      </c>
      <c r="C9" s="190">
        <v>0.21153935185185183</v>
      </c>
      <c r="D9" s="190">
        <v>0.23881944444444445</v>
      </c>
      <c r="E9" s="190">
        <f t="shared" si="0"/>
        <v>0.02728009259259262</v>
      </c>
      <c r="F9">
        <v>14</v>
      </c>
      <c r="G9">
        <v>61</v>
      </c>
      <c r="H9" s="190">
        <v>0.21399305555555556</v>
      </c>
      <c r="I9">
        <v>62</v>
      </c>
      <c r="J9" s="190">
        <v>0.21568287037037037</v>
      </c>
      <c r="K9">
        <v>63</v>
      </c>
      <c r="L9" s="190">
        <v>0.21729166666666666</v>
      </c>
      <c r="M9">
        <v>64</v>
      </c>
      <c r="N9" s="190">
        <v>0.2184259259259259</v>
      </c>
      <c r="O9">
        <v>65</v>
      </c>
      <c r="P9" s="190">
        <v>0.21922453703703704</v>
      </c>
      <c r="Q9">
        <v>66</v>
      </c>
      <c r="R9" s="190">
        <v>0.22145833333333334</v>
      </c>
      <c r="S9">
        <v>67</v>
      </c>
      <c r="T9" s="190">
        <v>0.22354166666666667</v>
      </c>
      <c r="U9">
        <v>68</v>
      </c>
      <c r="V9" s="190">
        <v>0.22565972222222222</v>
      </c>
      <c r="W9">
        <v>69</v>
      </c>
      <c r="X9" s="190">
        <v>0.22725694444444444</v>
      </c>
      <c r="Y9">
        <v>70</v>
      </c>
      <c r="Z9" s="190">
        <v>0.22895833333333335</v>
      </c>
      <c r="AA9">
        <v>71</v>
      </c>
      <c r="AB9" s="190">
        <v>0.23248842592592592</v>
      </c>
      <c r="AC9">
        <v>73</v>
      </c>
      <c r="AD9" s="190">
        <v>0.2363888888888889</v>
      </c>
      <c r="AE9">
        <v>72</v>
      </c>
      <c r="AF9" s="190">
        <v>0.23872685185185186</v>
      </c>
      <c r="AG9">
        <v>73</v>
      </c>
      <c r="AH9" s="190">
        <v>0.23939814814814817</v>
      </c>
    </row>
    <row r="10" spans="3:34" ht="15">
      <c r="C10" s="190"/>
      <c r="D10" s="190"/>
      <c r="E10" s="190"/>
      <c r="H10" s="190"/>
      <c r="J10" s="190"/>
      <c r="L10" s="190"/>
      <c r="N10" s="190"/>
      <c r="P10" s="190"/>
      <c r="R10" s="190"/>
      <c r="T10" s="190"/>
      <c r="V10" s="190"/>
      <c r="X10" s="190"/>
      <c r="Z10" s="190"/>
      <c r="AB10" s="190"/>
      <c r="AD10" s="190"/>
      <c r="AF10" s="190"/>
      <c r="AH10" s="190"/>
    </row>
    <row r="11" spans="1:30" ht="15">
      <c r="A11">
        <v>5617</v>
      </c>
      <c r="B11" t="s">
        <v>436</v>
      </c>
      <c r="C11" s="190">
        <v>0.12599537037037037</v>
      </c>
      <c r="D11" s="190">
        <v>0.1446875</v>
      </c>
      <c r="E11" s="190">
        <f>D11-C11</f>
        <v>0.018692129629629628</v>
      </c>
      <c r="F11">
        <v>12</v>
      </c>
      <c r="G11">
        <v>61</v>
      </c>
      <c r="H11" s="190">
        <v>0.12774305555555557</v>
      </c>
      <c r="I11">
        <v>62</v>
      </c>
      <c r="J11" s="190">
        <v>0.12925925925925927</v>
      </c>
      <c r="K11">
        <v>63</v>
      </c>
      <c r="L11" s="190">
        <v>0.13045138888888888</v>
      </c>
      <c r="M11">
        <v>64</v>
      </c>
      <c r="N11" s="190">
        <v>0.13127314814814814</v>
      </c>
      <c r="O11">
        <v>65</v>
      </c>
      <c r="P11" s="190">
        <v>0.13202546296296297</v>
      </c>
      <c r="Q11">
        <v>66</v>
      </c>
      <c r="R11" s="190">
        <v>0.13344907407407408</v>
      </c>
      <c r="S11">
        <v>67</v>
      </c>
      <c r="T11" s="190">
        <v>0.1349074074074074</v>
      </c>
      <c r="U11">
        <v>69</v>
      </c>
      <c r="V11" s="190">
        <v>0.1389351851851852</v>
      </c>
      <c r="W11">
        <v>70</v>
      </c>
      <c r="X11" s="190">
        <v>0.14086805555555557</v>
      </c>
      <c r="Y11">
        <v>71</v>
      </c>
      <c r="Z11" s="190">
        <v>0.14299768518518519</v>
      </c>
      <c r="AA11">
        <v>72</v>
      </c>
      <c r="AB11" s="190">
        <v>0.14479166666666668</v>
      </c>
      <c r="AC11">
        <v>73</v>
      </c>
      <c r="AD11" s="190">
        <v>0.14532407407407408</v>
      </c>
    </row>
    <row r="12" spans="1:16" ht="15">
      <c r="A12">
        <v>45900</v>
      </c>
      <c r="B12" t="s">
        <v>144</v>
      </c>
      <c r="C12" s="190">
        <v>0.16524305555555555</v>
      </c>
      <c r="D12" s="190">
        <v>0.2092361111111111</v>
      </c>
      <c r="E12" s="190">
        <f>D12-C12</f>
        <v>0.04399305555555555</v>
      </c>
      <c r="F12">
        <v>5</v>
      </c>
      <c r="G12">
        <v>62</v>
      </c>
      <c r="H12" s="190">
        <v>0.17283564814814814</v>
      </c>
      <c r="I12">
        <v>63</v>
      </c>
      <c r="J12" s="190">
        <v>0.17487268518518517</v>
      </c>
      <c r="K12">
        <v>64</v>
      </c>
      <c r="L12" s="190">
        <v>0.17582175925925925</v>
      </c>
      <c r="M12">
        <v>65</v>
      </c>
      <c r="N12" s="190">
        <v>0.17655092592592592</v>
      </c>
      <c r="O12">
        <v>67</v>
      </c>
      <c r="P12" s="190">
        <v>0.18296296296296297</v>
      </c>
    </row>
    <row r="13" spans="1:24" ht="15">
      <c r="A13">
        <v>505248</v>
      </c>
      <c r="B13" t="s">
        <v>437</v>
      </c>
      <c r="C13" s="190">
        <v>0.6671990740740741</v>
      </c>
      <c r="D13" s="190">
        <v>0.6832060185185185</v>
      </c>
      <c r="E13" s="190">
        <f>D13-C13</f>
        <v>0.016006944444444393</v>
      </c>
      <c r="F13">
        <v>9</v>
      </c>
      <c r="G13">
        <v>61</v>
      </c>
      <c r="H13" s="190">
        <v>0.6691319444444445</v>
      </c>
      <c r="I13">
        <v>62</v>
      </c>
      <c r="J13" s="190">
        <v>0.6701967592592593</v>
      </c>
      <c r="K13">
        <v>66</v>
      </c>
      <c r="L13" s="190">
        <v>0.6709722222222222</v>
      </c>
      <c r="M13">
        <v>68</v>
      </c>
      <c r="N13" s="190">
        <v>0.6771759259259259</v>
      </c>
      <c r="O13">
        <v>69</v>
      </c>
      <c r="P13" s="190">
        <v>0.6782291666666667</v>
      </c>
      <c r="Q13">
        <v>70</v>
      </c>
      <c r="R13" s="190">
        <v>0.6791782407407408</v>
      </c>
      <c r="S13">
        <v>71</v>
      </c>
      <c r="T13" s="190">
        <v>0.6808564814814816</v>
      </c>
      <c r="U13">
        <v>72</v>
      </c>
      <c r="V13" s="190">
        <v>0.6835300925925926</v>
      </c>
      <c r="W13">
        <v>72</v>
      </c>
      <c r="X13" s="190">
        <v>0.6835416666666667</v>
      </c>
    </row>
    <row r="16" spans="1:3" ht="15">
      <c r="A16" s="197" t="s">
        <v>53</v>
      </c>
      <c r="B16" s="198"/>
      <c r="C16" s="199"/>
    </row>
    <row r="17" spans="1:3" ht="15">
      <c r="A17" s="14" t="s">
        <v>1</v>
      </c>
      <c r="B17" s="11" t="str">
        <f>B2</f>
        <v>Schwendtner Bálint</v>
      </c>
      <c r="C17" s="21" t="s">
        <v>31</v>
      </c>
    </row>
    <row r="18" spans="1:3" ht="15">
      <c r="A18" s="14" t="s">
        <v>2</v>
      </c>
      <c r="B18" s="11" t="str">
        <f>B4</f>
        <v>Vellner Gábor</v>
      </c>
      <c r="C18" s="21" t="s">
        <v>32</v>
      </c>
    </row>
    <row r="19" spans="1:3" ht="15">
      <c r="A19" s="14" t="s">
        <v>3</v>
      </c>
      <c r="B19" s="11" t="str">
        <f>B5</f>
        <v>Hegedüs Béla</v>
      </c>
      <c r="C19" s="21" t="s">
        <v>33</v>
      </c>
    </row>
    <row r="20" spans="1:3" ht="15">
      <c r="A20" s="14" t="s">
        <v>4</v>
      </c>
      <c r="B20" s="11" t="str">
        <f>B6</f>
        <v>Orbán János</v>
      </c>
      <c r="C20" s="21" t="s">
        <v>34</v>
      </c>
    </row>
    <row r="21" spans="1:3" ht="15">
      <c r="A21" s="14" t="s">
        <v>5</v>
      </c>
      <c r="B21" s="11" t="str">
        <f>B7</f>
        <v>Fekete András</v>
      </c>
      <c r="C21" s="21" t="s">
        <v>35</v>
      </c>
    </row>
    <row r="22" spans="1:3" ht="15">
      <c r="A22" s="14" t="s">
        <v>6</v>
      </c>
      <c r="B22" s="11" t="str">
        <f>B9</f>
        <v>Sipos Judit</v>
      </c>
      <c r="C22" s="21" t="s">
        <v>36</v>
      </c>
    </row>
  </sheetData>
  <sheetProtection/>
  <mergeCells count="1">
    <mergeCell ref="A16:C16"/>
  </mergeCells>
  <printOptions/>
  <pageMargins left="0.7086614173228347" right="0.7086614173228347" top="1.1023622047244095" bottom="0.7480314960629921" header="0.31496062992125984" footer="0.31496062992125984"/>
  <pageSetup horizontalDpi="600" verticalDpi="600" orientation="portrait" paperSize="9" r:id="rId1"/>
  <headerFooter>
    <oddHeader>&amp;CSzabadsport Bajnokság
KOMPLEX verseny I.
NORMAFA</oddHeader>
    <oddFooter>&amp;C2010.09.21.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5">
      <selection activeCell="C28" sqref="C28"/>
    </sheetView>
  </sheetViews>
  <sheetFormatPr defaultColWidth="9.140625" defaultRowHeight="15"/>
  <cols>
    <col min="1" max="1" width="4.140625" style="105" customWidth="1"/>
    <col min="2" max="2" width="1.28515625" style="105" customWidth="1"/>
    <col min="3" max="3" width="30.8515625" style="105" bestFit="1" customWidth="1"/>
    <col min="4" max="5" width="4.7109375" style="188" customWidth="1"/>
    <col min="6" max="6" width="4.7109375" style="189" customWidth="1"/>
    <col min="7" max="8" width="4.7109375" style="188" customWidth="1"/>
    <col min="9" max="9" width="4.7109375" style="189" customWidth="1"/>
    <col min="10" max="11" width="4.7109375" style="188" customWidth="1"/>
    <col min="12" max="12" width="4.7109375" style="189" customWidth="1"/>
    <col min="13" max="14" width="4.7109375" style="188" customWidth="1"/>
    <col min="15" max="15" width="4.7109375" style="189" customWidth="1"/>
    <col min="16" max="16" width="5.8515625" style="184" customWidth="1"/>
    <col min="17" max="17" width="5.421875" style="176" bestFit="1" customWidth="1"/>
    <col min="19" max="19" width="4.140625" style="105" customWidth="1"/>
    <col min="20" max="20" width="3.00390625" style="105" customWidth="1"/>
    <col min="21" max="21" width="3.421875" style="105" bestFit="1" customWidth="1"/>
    <col min="22" max="22" width="3.7109375" style="105" customWidth="1"/>
    <col min="23" max="23" width="27.57421875" style="105" customWidth="1"/>
    <col min="24" max="16384" width="9.140625" style="105" customWidth="1"/>
  </cols>
  <sheetData>
    <row r="1" spans="1:17" ht="23.25" customHeight="1">
      <c r="A1" s="200" t="s">
        <v>289</v>
      </c>
      <c r="B1" s="201"/>
      <c r="C1" s="201"/>
      <c r="D1" s="201"/>
      <c r="E1" s="201"/>
      <c r="F1" s="201"/>
      <c r="G1" s="103"/>
      <c r="H1" s="103"/>
      <c r="I1" s="104"/>
      <c r="J1" s="103"/>
      <c r="K1" s="103"/>
      <c r="L1" s="104"/>
      <c r="M1" s="103"/>
      <c r="N1" s="103"/>
      <c r="O1" s="104"/>
      <c r="P1" s="202" t="s">
        <v>290</v>
      </c>
      <c r="Q1" s="205" t="s">
        <v>291</v>
      </c>
    </row>
    <row r="2" spans="1:17" ht="18.75" thickBot="1">
      <c r="A2" s="209" t="s">
        <v>292</v>
      </c>
      <c r="B2" s="210"/>
      <c r="C2" s="210"/>
      <c r="D2" s="211">
        <v>40491</v>
      </c>
      <c r="E2" s="211"/>
      <c r="F2" s="211"/>
      <c r="G2" s="106"/>
      <c r="H2" s="107"/>
      <c r="I2" s="108"/>
      <c r="J2" s="106"/>
      <c r="K2" s="107"/>
      <c r="L2" s="108"/>
      <c r="M2" s="107"/>
      <c r="N2" s="107"/>
      <c r="O2" s="108"/>
      <c r="P2" s="203"/>
      <c r="Q2" s="206"/>
    </row>
    <row r="3" spans="1:17" ht="15">
      <c r="A3" s="212" t="s">
        <v>293</v>
      </c>
      <c r="B3" s="214"/>
      <c r="C3" s="109"/>
      <c r="D3" s="110" t="s">
        <v>294</v>
      </c>
      <c r="E3" s="111" t="s">
        <v>294</v>
      </c>
      <c r="F3" s="112" t="s">
        <v>295</v>
      </c>
      <c r="G3" s="113" t="s">
        <v>296</v>
      </c>
      <c r="H3" s="111" t="s">
        <v>297</v>
      </c>
      <c r="I3" s="114" t="s">
        <v>295</v>
      </c>
      <c r="J3" s="113" t="s">
        <v>294</v>
      </c>
      <c r="K3" s="111" t="s">
        <v>298</v>
      </c>
      <c r="L3" s="114" t="s">
        <v>295</v>
      </c>
      <c r="M3" s="113" t="s">
        <v>298</v>
      </c>
      <c r="N3" s="111" t="s">
        <v>299</v>
      </c>
      <c r="O3" s="115" t="s">
        <v>295</v>
      </c>
      <c r="P3" s="203"/>
      <c r="Q3" s="207"/>
    </row>
    <row r="4" spans="1:17" ht="15.75" thickBot="1">
      <c r="A4" s="213"/>
      <c r="B4" s="215"/>
      <c r="C4" s="116" t="s">
        <v>0</v>
      </c>
      <c r="D4" s="117" t="s">
        <v>300</v>
      </c>
      <c r="E4" s="118" t="s">
        <v>301</v>
      </c>
      <c r="F4" s="119">
        <v>1</v>
      </c>
      <c r="G4" s="120" t="s">
        <v>302</v>
      </c>
      <c r="H4" s="118" t="s">
        <v>303</v>
      </c>
      <c r="I4" s="121">
        <v>2</v>
      </c>
      <c r="J4" s="120" t="s">
        <v>304</v>
      </c>
      <c r="K4" s="118" t="s">
        <v>305</v>
      </c>
      <c r="L4" s="121">
        <v>3</v>
      </c>
      <c r="M4" s="120" t="s">
        <v>306</v>
      </c>
      <c r="N4" s="118" t="s">
        <v>307</v>
      </c>
      <c r="O4" s="122">
        <v>4</v>
      </c>
      <c r="P4" s="204"/>
      <c r="Q4" s="208"/>
    </row>
    <row r="5" spans="1:17" ht="4.5" customHeight="1" thickBot="1">
      <c r="A5" s="123"/>
      <c r="B5" s="109"/>
      <c r="C5" s="124"/>
      <c r="D5" s="125"/>
      <c r="E5" s="126"/>
      <c r="F5" s="127"/>
      <c r="G5" s="128"/>
      <c r="H5" s="126"/>
      <c r="I5" s="129"/>
      <c r="J5" s="128"/>
      <c r="K5" s="126"/>
      <c r="L5" s="129"/>
      <c r="M5" s="128"/>
      <c r="N5" s="126"/>
      <c r="O5" s="130"/>
      <c r="P5" s="131"/>
      <c r="Q5" s="132"/>
    </row>
    <row r="6" spans="1:17" ht="15">
      <c r="A6" s="133">
        <v>1</v>
      </c>
      <c r="B6" s="134"/>
      <c r="C6" s="135" t="s">
        <v>308</v>
      </c>
      <c r="D6" s="136" t="s">
        <v>294</v>
      </c>
      <c r="E6" s="137" t="s">
        <v>294</v>
      </c>
      <c r="F6" s="138">
        <f>6+7</f>
        <v>13</v>
      </c>
      <c r="G6" s="139" t="s">
        <v>296</v>
      </c>
      <c r="H6" s="140" t="s">
        <v>297</v>
      </c>
      <c r="I6" s="141">
        <f>10+6</f>
        <v>16</v>
      </c>
      <c r="J6" s="142" t="s">
        <v>294</v>
      </c>
      <c r="K6" s="137" t="s">
        <v>294</v>
      </c>
      <c r="L6" s="141">
        <f>4+4</f>
        <v>8</v>
      </c>
      <c r="M6" s="142" t="s">
        <v>298</v>
      </c>
      <c r="N6" s="137" t="s">
        <v>299</v>
      </c>
      <c r="O6" s="143">
        <f>9+4</f>
        <v>13</v>
      </c>
      <c r="P6" s="144">
        <f>F6+I6+L6+O6+IF($D$3=$D6,0,45)+IF($E$3=$E6,0,45)+IF($G$3=$G6,0,45)+IF($H$3=$H6,0,45)+IF($J$3=$J6,0,45)+IF($K$3=$K6,0,45)+IF($M$3=$M6,0,45)+IF($N$3=$N6,0,45)</f>
        <v>95</v>
      </c>
      <c r="Q6" s="145">
        <f>IF($D$3=D6,1,0)+IF($E$3=E6,1,0)+IF($G$3=G6,1,0)+IF($H$3=H6,1,0)+IF($J$3=J6,1,0)+IF($K$3=K6,1,0)+IF($M$3=M6,1,0)+IF($N$3=N6,1,0)</f>
        <v>7</v>
      </c>
    </row>
    <row r="7" spans="1:24" ht="15">
      <c r="A7" s="146">
        <v>2</v>
      </c>
      <c r="B7" s="147"/>
      <c r="C7" s="148" t="s">
        <v>317</v>
      </c>
      <c r="D7" s="149" t="s">
        <v>294</v>
      </c>
      <c r="E7" s="67" t="s">
        <v>294</v>
      </c>
      <c r="F7" s="150">
        <f>41+19</f>
        <v>60</v>
      </c>
      <c r="G7" s="151" t="s">
        <v>299</v>
      </c>
      <c r="H7" s="67" t="s">
        <v>297</v>
      </c>
      <c r="I7" s="152">
        <f>82+1</f>
        <v>83</v>
      </c>
      <c r="J7" s="151" t="s">
        <v>294</v>
      </c>
      <c r="K7" s="67" t="s">
        <v>298</v>
      </c>
      <c r="L7" s="152">
        <f>43+25</f>
        <v>68</v>
      </c>
      <c r="M7" s="151" t="s">
        <v>298</v>
      </c>
      <c r="N7" s="67" t="s">
        <v>299</v>
      </c>
      <c r="O7" s="153">
        <f>37+25</f>
        <v>62</v>
      </c>
      <c r="P7" s="154">
        <f>F7+I7+L7+O7+IF($D$3=$D7,0,45)+IF($E$3=$E7,0,45)+IF($G$3=$G7,0,45)+IF($H$3=$H7,0,45)+IF($J$3=$J7,0,45)+IF($K$3=$K7,0,45)+IF($M$3=$M7,0,45)+IF($N$3=$N7,0,45)</f>
        <v>318</v>
      </c>
      <c r="Q7" s="155">
        <f>IF($D$3=D7,1,0)+IF($E$3=E7,1,0)+IF($G$3=G7,1,0)+IF($H$3=H7,1,0)+IF($J$3=J7,1,0)+IF($K$3=K7,1,0)+IF($M$3=M7,1,0)+IF($N$3=N7,1,0)</f>
        <v>7</v>
      </c>
      <c r="U7" s="156"/>
      <c r="V7" s="18" t="s">
        <v>43</v>
      </c>
      <c r="W7" s="22" t="s">
        <v>52</v>
      </c>
      <c r="X7" s="20"/>
    </row>
    <row r="8" spans="1:24" ht="15">
      <c r="A8" s="146">
        <v>3</v>
      </c>
      <c r="B8" s="147"/>
      <c r="C8" s="148" t="s">
        <v>309</v>
      </c>
      <c r="D8" s="149" t="s">
        <v>294</v>
      </c>
      <c r="E8" s="67" t="s">
        <v>297</v>
      </c>
      <c r="F8" s="150">
        <f>7+9</f>
        <v>16</v>
      </c>
      <c r="G8" s="151" t="s">
        <v>296</v>
      </c>
      <c r="H8" s="67" t="s">
        <v>294</v>
      </c>
      <c r="I8" s="152">
        <f>8+31</f>
        <v>39</v>
      </c>
      <c r="J8" s="151" t="s">
        <v>294</v>
      </c>
      <c r="K8" s="67" t="s">
        <v>298</v>
      </c>
      <c r="L8" s="152">
        <f>6+8</f>
        <v>14</v>
      </c>
      <c r="M8" s="151" t="s">
        <v>298</v>
      </c>
      <c r="N8" s="67" t="s">
        <v>299</v>
      </c>
      <c r="O8" s="153">
        <f>5+6</f>
        <v>11</v>
      </c>
      <c r="P8" s="154">
        <f>F8+I8+L8+O8+IF($D$3=$D8,0,45)+IF($E$3=$E8,0,45)+IF($G$3=$G8,0,45)+IF($H$3=$H8,0,45)+IF($J$3=$J8,0,45)+IF($K$3=$K8,0,45)+IF($M$3=$M8,0,45)+IF($N$3=$N8,0,45)</f>
        <v>170</v>
      </c>
      <c r="Q8" s="155">
        <f>IF($D$3=D8,1,0)+IF($E$3=E8,1,0)+IF($G$3=G8,1,0)+IF($H$3=H8,1,0)+IF($J$3=J8,1,0)+IF($K$3=K8,1,0)+IF($M$3=M8,1,0)+IF($N$3=N8,1,0)</f>
        <v>6</v>
      </c>
      <c r="V8" s="14" t="s">
        <v>1</v>
      </c>
      <c r="W8" s="11" t="str">
        <f aca="true" t="shared" si="0" ref="W8:W13">C6</f>
        <v>Szabó Zsuzsanna</v>
      </c>
      <c r="X8" s="21" t="s">
        <v>31</v>
      </c>
    </row>
    <row r="9" spans="1:24" ht="15">
      <c r="A9" s="146">
        <v>4</v>
      </c>
      <c r="B9" s="147"/>
      <c r="C9" s="148" t="s">
        <v>310</v>
      </c>
      <c r="D9" s="149" t="s">
        <v>294</v>
      </c>
      <c r="E9" s="67" t="s">
        <v>294</v>
      </c>
      <c r="F9" s="150">
        <f>11+12</f>
        <v>23</v>
      </c>
      <c r="G9" s="151" t="s">
        <v>294</v>
      </c>
      <c r="H9" s="67" t="s">
        <v>298</v>
      </c>
      <c r="I9" s="152">
        <f>3+5</f>
        <v>8</v>
      </c>
      <c r="J9" s="151" t="s">
        <v>294</v>
      </c>
      <c r="K9" s="67" t="s">
        <v>298</v>
      </c>
      <c r="L9" s="152">
        <f>5+26</f>
        <v>31</v>
      </c>
      <c r="M9" s="151" t="s">
        <v>298</v>
      </c>
      <c r="N9" s="67" t="s">
        <v>299</v>
      </c>
      <c r="O9" s="153">
        <f>12+10</f>
        <v>22</v>
      </c>
      <c r="P9" s="154">
        <f>F9+I9+L9+O9+IF($D$3=$D9,0,45)+IF($E$3=$E9,0,45)+IF($G$3=$G9,0,45)+IF($H$3=$H9,0,45)+IF($J$3=$J9,0,45)+IF($K$3=$K9,0,45)+IF($M$3=$M9,0,45)+IF($N$3=$N9,0,45)</f>
        <v>174</v>
      </c>
      <c r="Q9" s="155">
        <f>IF($D$3=D9,1,0)+IF($E$3=E9,1,0)+IF($G$3=G9,1,0)+IF($H$3=H9,1,0)+IF($J$3=J9,1,0)+IF($K$3=K9,1,0)+IF($M$3=M9,1,0)+IF($N$3=N9,1,0)</f>
        <v>6</v>
      </c>
      <c r="U9" s="156"/>
      <c r="V9" s="14" t="s">
        <v>2</v>
      </c>
      <c r="W9" s="11" t="str">
        <f t="shared" si="0"/>
        <v>Kerekes Viktor</v>
      </c>
      <c r="X9" s="21" t="s">
        <v>32</v>
      </c>
    </row>
    <row r="10" spans="1:24" s="156" customFormat="1" ht="15">
      <c r="A10" s="146">
        <v>5</v>
      </c>
      <c r="B10" s="147"/>
      <c r="C10" s="148" t="s">
        <v>311</v>
      </c>
      <c r="D10" s="149" t="s">
        <v>294</v>
      </c>
      <c r="E10" s="67" t="s">
        <v>294</v>
      </c>
      <c r="F10" s="150">
        <f>20+5</f>
        <v>25</v>
      </c>
      <c r="G10" s="151" t="s">
        <v>296</v>
      </c>
      <c r="H10" s="67" t="s">
        <v>297</v>
      </c>
      <c r="I10" s="152">
        <f>6+16</f>
        <v>22</v>
      </c>
      <c r="J10" s="151" t="s">
        <v>294</v>
      </c>
      <c r="K10" s="67" t="s">
        <v>294</v>
      </c>
      <c r="L10" s="152">
        <f>28+14</f>
        <v>42</v>
      </c>
      <c r="M10" s="151" t="s">
        <v>296</v>
      </c>
      <c r="N10" s="67" t="s">
        <v>299</v>
      </c>
      <c r="O10" s="153">
        <f>8+5</f>
        <v>13</v>
      </c>
      <c r="P10" s="154">
        <f>F10+I10+L10+O10+IF($D$3=$D10,0,45)+IF($E$3=$E10,0,45)+IF($G$3=$G10,0,45)+IF($H$3=$H10,0,45)+IF($J$3=$J10,0,45)+IF($K$3=$K10,0,45)+IF($M$3=$M10,0,45)+IF($N$3=$N10,0,45)</f>
        <v>192</v>
      </c>
      <c r="Q10" s="155">
        <f>IF($D$3=D10,1,0)+IF($E$3=E10,1,0)+IF($G$3=G10,1,0)+IF($H$3=H10,1,0)+IF($J$3=J10,1,0)+IF($K$3=K10,1,0)+IF($M$3=M10,1,0)+IF($N$3=N10,1,0)</f>
        <v>6</v>
      </c>
      <c r="S10" s="105"/>
      <c r="T10" s="105"/>
      <c r="V10" s="14" t="s">
        <v>3</v>
      </c>
      <c r="W10" s="11" t="str">
        <f t="shared" si="0"/>
        <v>Farkas Sándor</v>
      </c>
      <c r="X10" s="21" t="s">
        <v>33</v>
      </c>
    </row>
    <row r="11" spans="1:24" ht="15">
      <c r="A11" s="146">
        <v>6</v>
      </c>
      <c r="B11" s="147"/>
      <c r="C11" s="148" t="s">
        <v>312</v>
      </c>
      <c r="D11" s="149" t="s">
        <v>294</v>
      </c>
      <c r="E11" s="67" t="s">
        <v>294</v>
      </c>
      <c r="F11" s="150">
        <f>18+26</f>
        <v>44</v>
      </c>
      <c r="G11" s="151" t="s">
        <v>299</v>
      </c>
      <c r="H11" s="67" t="s">
        <v>297</v>
      </c>
      <c r="I11" s="152">
        <f>20+15</f>
        <v>35</v>
      </c>
      <c r="J11" s="151" t="s">
        <v>294</v>
      </c>
      <c r="K11" s="67" t="s">
        <v>294</v>
      </c>
      <c r="L11" s="152">
        <f>19+16</f>
        <v>35</v>
      </c>
      <c r="M11" s="151" t="s">
        <v>298</v>
      </c>
      <c r="N11" s="67" t="s">
        <v>299</v>
      </c>
      <c r="O11" s="153">
        <f>24+1</f>
        <v>25</v>
      </c>
      <c r="P11" s="154">
        <f>F11+I11+L11+O11+IF($D$3=$D11,0,45)+IF($E$3=$E11,0,45)+IF($G$3=$G11,0,45)+IF($H$3=$H11,0,45)+IF($J$3=$J11,0,45)+IF($K$3=$K11,0,45)+IF($M$3=$M11,0,45)+IF($N$3=$N11,0,45)</f>
        <v>229</v>
      </c>
      <c r="Q11" s="155">
        <f>IF($D$3=D11,1,0)+IF($E$3=E11,1,0)+IF($G$3=G11,1,0)+IF($H$3=H11,1,0)+IF($J$3=J11,1,0)+IF($K$3=K11,1,0)+IF($M$3=M11,1,0)+IF($N$3=N11,1,0)</f>
        <v>6</v>
      </c>
      <c r="V11" s="14" t="s">
        <v>4</v>
      </c>
      <c r="W11" s="11" t="str">
        <f t="shared" si="0"/>
        <v>Kinde Mátyás</v>
      </c>
      <c r="X11" s="21" t="s">
        <v>34</v>
      </c>
    </row>
    <row r="12" spans="1:24" ht="15">
      <c r="A12" s="146">
        <v>7</v>
      </c>
      <c r="B12" s="147"/>
      <c r="C12" s="148" t="s">
        <v>321</v>
      </c>
      <c r="D12" s="149" t="s">
        <v>294</v>
      </c>
      <c r="E12" s="67" t="s">
        <v>294</v>
      </c>
      <c r="F12" s="150">
        <f>39+31</f>
        <v>70</v>
      </c>
      <c r="G12" s="151" t="s">
        <v>296</v>
      </c>
      <c r="H12" s="67" t="s">
        <v>298</v>
      </c>
      <c r="I12" s="152">
        <f>64+10</f>
        <v>74</v>
      </c>
      <c r="J12" s="151" t="s">
        <v>294</v>
      </c>
      <c r="K12" s="67" t="s">
        <v>294</v>
      </c>
      <c r="L12" s="152">
        <f>23+42</f>
        <v>65</v>
      </c>
      <c r="M12" s="151" t="s">
        <v>298</v>
      </c>
      <c r="N12" s="67" t="s">
        <v>299</v>
      </c>
      <c r="O12" s="153">
        <f>45+19</f>
        <v>64</v>
      </c>
      <c r="P12" s="154">
        <f>F12+I12+L12+O12+IF($D$3=$D12,0,45)+IF($E$3=$E12,0,45)+IF($G$3=$G12,0,45)+IF($H$3=$H12,0,45)+IF($J$3=$J12,0,45)+IF($K$3=$K12,0,45)+IF($M$3=$M12,0,45)+IF($N$3=$N12,0,45)</f>
        <v>363</v>
      </c>
      <c r="Q12" s="155">
        <f>IF($D$3=D12,1,0)+IF($E$3=E12,1,0)+IF($G$3=G12,1,0)+IF($H$3=H12,1,0)+IF($J$3=J12,1,0)+IF($K$3=K12,1,0)+IF($M$3=M12,1,0)+IF($N$3=N12,1,0)</f>
        <v>6</v>
      </c>
      <c r="U12" s="156"/>
      <c r="V12" s="14" t="s">
        <v>5</v>
      </c>
      <c r="W12" s="11" t="str">
        <f t="shared" si="0"/>
        <v>Kovalcsik István</v>
      </c>
      <c r="X12" s="21" t="s">
        <v>35</v>
      </c>
    </row>
    <row r="13" spans="1:24" ht="15">
      <c r="A13" s="146">
        <v>8</v>
      </c>
      <c r="B13" s="147"/>
      <c r="C13" s="148" t="s">
        <v>323</v>
      </c>
      <c r="D13" s="149" t="s">
        <v>294</v>
      </c>
      <c r="E13" s="67" t="s">
        <v>294</v>
      </c>
      <c r="F13" s="150">
        <f>14+19</f>
        <v>33</v>
      </c>
      <c r="G13" s="157" t="s">
        <v>296</v>
      </c>
      <c r="H13" s="158" t="s">
        <v>297</v>
      </c>
      <c r="I13" s="152">
        <f>73+57</f>
        <v>130</v>
      </c>
      <c r="J13" s="151" t="s">
        <v>298</v>
      </c>
      <c r="K13" s="67" t="s">
        <v>298</v>
      </c>
      <c r="L13" s="152">
        <f>19+41</f>
        <v>60</v>
      </c>
      <c r="M13" s="151" t="s">
        <v>298</v>
      </c>
      <c r="N13" s="67" t="s">
        <v>296</v>
      </c>
      <c r="O13" s="153">
        <f>44+13</f>
        <v>57</v>
      </c>
      <c r="P13" s="154">
        <f>F13+I13+L13+O13+IF($D$3=$D13,0,45)+IF($E$3=$E13,0,45)+IF($G$3=$G13,0,45)+IF($H$3=$H13,0,45)+IF($J$3=$J13,0,45)+IF($K$3=$K13,0,45)+IF($M$3=$M13,0,45)+IF($N$3=$N13,0,45)</f>
        <v>370</v>
      </c>
      <c r="Q13" s="155">
        <f>IF($D$3=D13,1,0)+IF($E$3=E13,1,0)+IF($G$3=G13,1,0)+IF($H$3=H13,1,0)+IF($J$3=J13,1,0)+IF($K$3=K13,1,0)+IF($M$3=M13,1,0)+IF($N$3=N13,1,0)</f>
        <v>6</v>
      </c>
      <c r="U13" s="156"/>
      <c r="V13" s="14" t="s">
        <v>6</v>
      </c>
      <c r="W13" s="11" t="str">
        <f t="shared" si="0"/>
        <v>Biró Fruzsina</v>
      </c>
      <c r="X13" s="21" t="s">
        <v>36</v>
      </c>
    </row>
    <row r="14" spans="1:21" ht="15">
      <c r="A14" s="146">
        <v>9</v>
      </c>
      <c r="B14" s="147"/>
      <c r="C14" s="148" t="s">
        <v>316</v>
      </c>
      <c r="D14" s="149" t="s">
        <v>296</v>
      </c>
      <c r="E14" s="67" t="s">
        <v>294</v>
      </c>
      <c r="F14" s="150">
        <f>2+3</f>
        <v>5</v>
      </c>
      <c r="G14" s="151" t="s">
        <v>294</v>
      </c>
      <c r="H14" s="67" t="s">
        <v>297</v>
      </c>
      <c r="I14" s="152">
        <f>22+42</f>
        <v>64</v>
      </c>
      <c r="J14" s="151" t="s">
        <v>296</v>
      </c>
      <c r="K14" s="67" t="s">
        <v>298</v>
      </c>
      <c r="L14" s="152">
        <f>6+36</f>
        <v>42</v>
      </c>
      <c r="M14" s="151" t="s">
        <v>298</v>
      </c>
      <c r="N14" s="67" t="s">
        <v>299</v>
      </c>
      <c r="O14" s="153">
        <f>29+9</f>
        <v>38</v>
      </c>
      <c r="P14" s="154">
        <f>F14+I14+L14+O14+IF($D$3=$D14,0,45)+IF($E$3=$E14,0,45)+IF($G$3=$G14,0,45)+IF($H$3=$H14,0,45)+IF($J$3=$J14,0,45)+IF($K$3=$K14,0,45)+IF($M$3=$M14,0,45)+IF($N$3=$N14,0,45)</f>
        <v>284</v>
      </c>
      <c r="Q14" s="155">
        <f>IF($D$3=D14,1,0)+IF($E$3=E14,1,0)+IF($G$3=G14,1,0)+IF($H$3=H14,1,0)+IF($J$3=J14,1,0)+IF($K$3=K14,1,0)+IF($M$3=M14,1,0)+IF($N$3=N14,1,0)</f>
        <v>5</v>
      </c>
      <c r="U14" s="156"/>
    </row>
    <row r="15" spans="1:21" ht="15">
      <c r="A15" s="146">
        <v>10</v>
      </c>
      <c r="B15" s="147"/>
      <c r="C15" s="148" t="s">
        <v>318</v>
      </c>
      <c r="D15" s="149" t="s">
        <v>298</v>
      </c>
      <c r="E15" s="67" t="s">
        <v>294</v>
      </c>
      <c r="F15" s="150">
        <f>44+16</f>
        <v>60</v>
      </c>
      <c r="G15" s="157" t="s">
        <v>296</v>
      </c>
      <c r="H15" s="158" t="s">
        <v>297</v>
      </c>
      <c r="I15" s="152">
        <f>35+27</f>
        <v>62</v>
      </c>
      <c r="J15" s="151" t="s">
        <v>294</v>
      </c>
      <c r="K15" s="67" t="s">
        <v>294</v>
      </c>
      <c r="L15" s="152">
        <f>18+42</f>
        <v>60</v>
      </c>
      <c r="M15" s="151" t="s">
        <v>298</v>
      </c>
      <c r="N15" s="67" t="s">
        <v>296</v>
      </c>
      <c r="O15" s="153">
        <f>9+12</f>
        <v>21</v>
      </c>
      <c r="P15" s="154">
        <f>F15+I15+L15+O15+IF($D$3=$D15,0,45)+IF($E$3=$E15,0,45)+IF($G$3=$G15,0,45)+IF($H$3=$H15,0,45)+IF($J$3=$J15,0,45)+IF($K$3=$K15,0,45)+IF($M$3=$M15,0,45)+IF($N$3=$N15,0,45)</f>
        <v>338</v>
      </c>
      <c r="Q15" s="155">
        <f>IF($D$3=D15,1,0)+IF($E$3=E15,1,0)+IF($G$3=G15,1,0)+IF($H$3=H15,1,0)+IF($J$3=J15,1,0)+IF($K$3=K15,1,0)+IF($M$3=M15,1,0)+IF($N$3=N15,1,0)</f>
        <v>5</v>
      </c>
      <c r="U15" s="156"/>
    </row>
    <row r="16" spans="1:17" ht="15">
      <c r="A16" s="146">
        <v>11</v>
      </c>
      <c r="B16" s="147"/>
      <c r="C16" s="148" t="s">
        <v>322</v>
      </c>
      <c r="D16" s="149" t="s">
        <v>294</v>
      </c>
      <c r="E16" s="67" t="s">
        <v>294</v>
      </c>
      <c r="F16" s="150">
        <f>16+6</f>
        <v>22</v>
      </c>
      <c r="G16" s="151" t="s">
        <v>296</v>
      </c>
      <c r="H16" s="67" t="s">
        <v>297</v>
      </c>
      <c r="I16" s="152">
        <f>36+30</f>
        <v>66</v>
      </c>
      <c r="J16" s="151" t="s">
        <v>298</v>
      </c>
      <c r="K16" s="67" t="s">
        <v>298</v>
      </c>
      <c r="L16" s="152">
        <f>45+16</f>
        <v>61</v>
      </c>
      <c r="M16" s="151" t="s">
        <v>294</v>
      </c>
      <c r="N16" s="67" t="s">
        <v>296</v>
      </c>
      <c r="O16" s="153">
        <f>38+45</f>
        <v>83</v>
      </c>
      <c r="P16" s="154">
        <f>F16+I16+L16+O16+IF($D$3=$D16,0,45)+IF($E$3=$E16,0,45)+IF($G$3=$G16,0,45)+IF($H$3=$H16,0,45)+IF($J$3=$J16,0,45)+IF($K$3=$K16,0,45)+IF($M$3=$M16,0,45)+IF($N$3=$N16,0,45)</f>
        <v>367</v>
      </c>
      <c r="Q16" s="155">
        <f>IF($D$3=D16,1,0)+IF($E$3=E16,1,0)+IF($G$3=G16,1,0)+IF($H$3=H16,1,0)+IF($J$3=J16,1,0)+IF($K$3=K16,1,0)+IF($M$3=M16,1,0)+IF($N$3=N16,1,0)</f>
        <v>5</v>
      </c>
    </row>
    <row r="17" spans="1:21" ht="15">
      <c r="A17" s="146">
        <v>12</v>
      </c>
      <c r="B17" s="147"/>
      <c r="C17" s="148" t="s">
        <v>313</v>
      </c>
      <c r="D17" s="149" t="s">
        <v>294</v>
      </c>
      <c r="E17" s="67" t="s">
        <v>294</v>
      </c>
      <c r="F17" s="150">
        <f>9+9</f>
        <v>18</v>
      </c>
      <c r="G17" s="151" t="s">
        <v>294</v>
      </c>
      <c r="H17" s="67" t="s">
        <v>298</v>
      </c>
      <c r="I17" s="152">
        <f>10+6</f>
        <v>16</v>
      </c>
      <c r="J17" s="151" t="s">
        <v>294</v>
      </c>
      <c r="K17" s="67" t="s">
        <v>296</v>
      </c>
      <c r="L17" s="152">
        <f>8+14</f>
        <v>22</v>
      </c>
      <c r="M17" s="151" t="s">
        <v>296</v>
      </c>
      <c r="N17" s="67" t="s">
        <v>299</v>
      </c>
      <c r="O17" s="153">
        <f>11+9</f>
        <v>20</v>
      </c>
      <c r="P17" s="154">
        <f>F17+I17+L17+O17+IF($D$3=$D17,0,45)+IF($E$3=$E17,0,45)+IF($G$3=$G17,0,45)+IF($H$3=$H17,0,45)+IF($J$3=$J17,0,45)+IF($K$3=$K17,0,45)+IF($M$3=$M17,0,45)+IF($N$3=$N17,0,45)</f>
        <v>256</v>
      </c>
      <c r="Q17" s="155">
        <f>IF($D$3=D17,1,0)+IF($E$3=E17,1,0)+IF($G$3=G17,1,0)+IF($H$3=H17,1,0)+IF($J$3=J17,1,0)+IF($K$3=K17,1,0)+IF($M$3=M17,1,0)+IF($N$3=N17,1,0)</f>
        <v>4</v>
      </c>
      <c r="U17" s="156"/>
    </row>
    <row r="18" spans="1:23" ht="15">
      <c r="A18" s="146">
        <v>13</v>
      </c>
      <c r="B18" s="147"/>
      <c r="C18" s="148" t="s">
        <v>314</v>
      </c>
      <c r="D18" s="149" t="s">
        <v>296</v>
      </c>
      <c r="E18" s="67" t="s">
        <v>294</v>
      </c>
      <c r="F18" s="150">
        <f>21+1</f>
        <v>22</v>
      </c>
      <c r="G18" s="151" t="s">
        <v>298</v>
      </c>
      <c r="H18" s="67" t="s">
        <v>297</v>
      </c>
      <c r="I18" s="152">
        <f>12+10</f>
        <v>22</v>
      </c>
      <c r="J18" s="151" t="s">
        <v>294</v>
      </c>
      <c r="K18" s="67" t="s">
        <v>294</v>
      </c>
      <c r="L18" s="152">
        <f>3+10</f>
        <v>13</v>
      </c>
      <c r="M18" s="151" t="s">
        <v>296</v>
      </c>
      <c r="N18" s="67" t="s">
        <v>299</v>
      </c>
      <c r="O18" s="153">
        <f>8+17</f>
        <v>25</v>
      </c>
      <c r="P18" s="154">
        <f>F18+I18+L18+O18+IF($D$3=$D18,0,45)+IF($E$3=$E18,0,45)+IF($G$3=$G18,0,45)+IF($H$3=$H18,0,45)+IF($J$3=$J18,0,45)+IF($K$3=$K18,0,45)+IF($M$3=$M18,0,45)+IF($N$3=$N18,0,45)</f>
        <v>262</v>
      </c>
      <c r="Q18" s="155">
        <f>IF($D$3=D18,1,0)+IF($E$3=E18,1,0)+IF($G$3=G18,1,0)+IF($H$3=H18,1,0)+IF($J$3=J18,1,0)+IF($K$3=K18,1,0)+IF($M$3=M18,1,0)+IF($N$3=N18,1,0)</f>
        <v>4</v>
      </c>
      <c r="W18" s="191" t="s">
        <v>439</v>
      </c>
    </row>
    <row r="19" spans="1:17" ht="15">
      <c r="A19" s="146">
        <v>14</v>
      </c>
      <c r="B19" s="147"/>
      <c r="C19" s="148" t="s">
        <v>315</v>
      </c>
      <c r="D19" s="149" t="s">
        <v>294</v>
      </c>
      <c r="E19" s="67" t="s">
        <v>299</v>
      </c>
      <c r="F19" s="150">
        <f>6+7</f>
        <v>13</v>
      </c>
      <c r="G19" s="157" t="s">
        <v>298</v>
      </c>
      <c r="H19" s="158" t="s">
        <v>297</v>
      </c>
      <c r="I19" s="152">
        <f>54+1</f>
        <v>55</v>
      </c>
      <c r="J19" s="151" t="s">
        <v>294</v>
      </c>
      <c r="K19" s="67" t="s">
        <v>294</v>
      </c>
      <c r="L19" s="152">
        <f>5+11</f>
        <v>16</v>
      </c>
      <c r="M19" s="151" t="s">
        <v>296</v>
      </c>
      <c r="N19" s="67" t="s">
        <v>299</v>
      </c>
      <c r="O19" s="153">
        <f>12+5</f>
        <v>17</v>
      </c>
      <c r="P19" s="154">
        <f>F19+I19+L19+O19+IF($D$3=$D19,0,45)+IF($E$3=$E19,0,45)+IF($G$3=$G19,0,45)+IF($H$3=$H19,0,45)+IF($J$3=$J19,0,45)+IF($K$3=$K19,0,45)+IF($M$3=$M19,0,45)+IF($N$3=$N19,0,45)</f>
        <v>281</v>
      </c>
      <c r="Q19" s="155">
        <f>IF($D$3=D19,1,0)+IF($E$3=E19,1,0)+IF($G$3=G19,1,0)+IF($H$3=H19,1,0)+IF($J$3=J19,1,0)+IF($K$3=K19,1,0)+IF($M$3=M19,1,0)+IF($N$3=N19,1,0)</f>
        <v>4</v>
      </c>
    </row>
    <row r="20" spans="1:23" ht="15">
      <c r="A20" s="146">
        <v>15</v>
      </c>
      <c r="B20" s="147"/>
      <c r="C20" s="148" t="s">
        <v>320</v>
      </c>
      <c r="D20" s="149" t="s">
        <v>294</v>
      </c>
      <c r="E20" s="67" t="s">
        <v>294</v>
      </c>
      <c r="F20" s="150">
        <f>9+20</f>
        <v>29</v>
      </c>
      <c r="G20" s="151" t="s">
        <v>296</v>
      </c>
      <c r="H20" s="67" t="s">
        <v>298</v>
      </c>
      <c r="I20" s="152">
        <f>36+10</f>
        <v>46</v>
      </c>
      <c r="J20" s="151" t="s">
        <v>296</v>
      </c>
      <c r="K20" s="67" t="s">
        <v>296</v>
      </c>
      <c r="L20" s="152">
        <f>30+18</f>
        <v>48</v>
      </c>
      <c r="M20" s="151" t="s">
        <v>298</v>
      </c>
      <c r="N20" s="67" t="s">
        <v>297</v>
      </c>
      <c r="O20" s="153">
        <f>28+22</f>
        <v>50</v>
      </c>
      <c r="P20" s="154">
        <f>F20+I20+L20+O20+IF($D$3=$D20,0,45)+IF($E$3=$E20,0,45)+IF($G$3=$G20,0,45)+IF($H$3=$H20,0,45)+IF($J$3=$J20,0,45)+IF($K$3=$K20,0,45)+IF($M$3=$M20,0,45)+IF($N$3=$N20,0,45)</f>
        <v>353</v>
      </c>
      <c r="Q20" s="155">
        <f>IF($D$3=D20,1,0)+IF($E$3=E20,1,0)+IF($G$3=G20,1,0)+IF($H$3=H20,1,0)+IF($J$3=J20,1,0)+IF($K$3=K20,1,0)+IF($M$3=M20,1,0)+IF($N$3=N20,1,0)</f>
        <v>4</v>
      </c>
      <c r="V20" s="105" t="s">
        <v>1</v>
      </c>
      <c r="W20" s="105" t="s">
        <v>29</v>
      </c>
    </row>
    <row r="21" spans="1:23" ht="15">
      <c r="A21" s="146">
        <v>16</v>
      </c>
      <c r="B21" s="147"/>
      <c r="C21" s="159" t="s">
        <v>319</v>
      </c>
      <c r="D21" s="149" t="s">
        <v>294</v>
      </c>
      <c r="E21" s="67" t="s">
        <v>294</v>
      </c>
      <c r="F21" s="150">
        <f>16+27</f>
        <v>43</v>
      </c>
      <c r="G21" s="151" t="s">
        <v>296</v>
      </c>
      <c r="H21" s="67" t="s">
        <v>298</v>
      </c>
      <c r="I21" s="152">
        <f>18+30</f>
        <v>48</v>
      </c>
      <c r="J21" s="151" t="s">
        <v>296</v>
      </c>
      <c r="K21" s="67" t="s">
        <v>294</v>
      </c>
      <c r="L21" s="152">
        <f>10+5</f>
        <v>15</v>
      </c>
      <c r="M21" s="151" t="s">
        <v>294</v>
      </c>
      <c r="N21" s="67" t="s">
        <v>296</v>
      </c>
      <c r="O21" s="153">
        <f>10+2</f>
        <v>12</v>
      </c>
      <c r="P21" s="154">
        <f>F21+I21+L21+O21+IF($D$3=$D21,0,45)+IF($E$3=$E21,0,45)+IF($G$3=$G21,0,45)+IF($H$3=$H21,0,45)+IF($J$3=$J21,0,45)+IF($K$3=$K21,0,45)+IF($M$3=$M21,0,45)+IF($N$3=$N21,0,45)</f>
        <v>343</v>
      </c>
      <c r="Q21" s="155">
        <f>IF($D$3=D21,1,0)+IF($E$3=E21,1,0)+IF($G$3=G21,1,0)+IF($H$3=H21,1,0)+IF($J$3=J21,1,0)+IF($K$3=K21,1,0)+IF($M$3=M21,1,0)+IF($N$3=N21,1,0)</f>
        <v>3</v>
      </c>
      <c r="U21" s="156"/>
      <c r="V21" s="105" t="s">
        <v>2</v>
      </c>
      <c r="W21" s="105" t="s">
        <v>148</v>
      </c>
    </row>
    <row r="22" spans="1:23" ht="15">
      <c r="A22" s="146">
        <v>17</v>
      </c>
      <c r="B22" s="147"/>
      <c r="C22" s="148" t="s">
        <v>148</v>
      </c>
      <c r="D22" s="149" t="s">
        <v>297</v>
      </c>
      <c r="E22" s="67" t="s">
        <v>294</v>
      </c>
      <c r="F22" s="150">
        <f>25+11</f>
        <v>36</v>
      </c>
      <c r="G22" s="151" t="s">
        <v>294</v>
      </c>
      <c r="H22" s="67" t="s">
        <v>298</v>
      </c>
      <c r="I22" s="152">
        <f>34+15</f>
        <v>49</v>
      </c>
      <c r="J22" s="151" t="s">
        <v>296</v>
      </c>
      <c r="K22" s="67" t="s">
        <v>298</v>
      </c>
      <c r="L22" s="152">
        <f>12+9</f>
        <v>21</v>
      </c>
      <c r="M22" s="151" t="s">
        <v>294</v>
      </c>
      <c r="N22" s="67" t="s">
        <v>299</v>
      </c>
      <c r="O22" s="153">
        <f>14+26</f>
        <v>40</v>
      </c>
      <c r="P22" s="154">
        <f>F22+I22+L22+O22+IF($D$3=$D22,0,45)+IF($E$3=$E22,0,45)+IF($G$3=$G22,0,45)+IF($H$3=$H22,0,45)+IF($J$3=$J22,0,45)+IF($K$3=$K22,0,45)+IF($M$3=$M22,0,45)+IF($N$3=$N22,0,45)</f>
        <v>371</v>
      </c>
      <c r="Q22" s="155">
        <f>IF($D$3=D22,1,0)+IF($E$3=E22,1,0)+IF($G$3=G22,1,0)+IF($H$3=H22,1,0)+IF($J$3=J22,1,0)+IF($K$3=K22,1,0)+IF($M$3=M22,1,0)+IF($N$3=N22,1,0)</f>
        <v>3</v>
      </c>
      <c r="U22" s="156"/>
      <c r="V22" s="105" t="s">
        <v>3</v>
      </c>
      <c r="W22" s="105" t="s">
        <v>144</v>
      </c>
    </row>
    <row r="23" spans="1:23" ht="15">
      <c r="A23" s="146">
        <v>18</v>
      </c>
      <c r="B23" s="147"/>
      <c r="C23" s="148" t="s">
        <v>324</v>
      </c>
      <c r="D23" s="149" t="s">
        <v>299</v>
      </c>
      <c r="E23" s="67" t="s">
        <v>299</v>
      </c>
      <c r="F23" s="150">
        <f>32+17</f>
        <v>49</v>
      </c>
      <c r="G23" s="151" t="s">
        <v>296</v>
      </c>
      <c r="H23" s="67" t="s">
        <v>297</v>
      </c>
      <c r="I23" s="152">
        <f>26+10</f>
        <v>36</v>
      </c>
      <c r="J23" s="151" t="s">
        <v>297</v>
      </c>
      <c r="K23" s="67" t="s">
        <v>294</v>
      </c>
      <c r="L23" s="152">
        <f>12+23</f>
        <v>35</v>
      </c>
      <c r="M23" s="151" t="s">
        <v>294</v>
      </c>
      <c r="N23" s="67" t="s">
        <v>299</v>
      </c>
      <c r="O23" s="153">
        <f>23+20</f>
        <v>43</v>
      </c>
      <c r="P23" s="154">
        <f>F23+I23+L23+O23+IF($D$3=$D23,0,45)+IF($E$3=$E23,0,45)+IF($G$3=$G23,0,45)+IF($H$3=$H23,0,45)+IF($J$3=$J23,0,45)+IF($K$3=$K23,0,45)+IF($M$3=$M23,0,45)+IF($N$3=$N23,0,45)</f>
        <v>388</v>
      </c>
      <c r="Q23" s="155">
        <f>IF($D$3=D23,1,0)+IF($E$3=E23,1,0)+IF($G$3=G23,1,0)+IF($H$3=H23,1,0)+IF($J$3=J23,1,0)+IF($K$3=K23,1,0)+IF($M$3=M23,1,0)+IF($N$3=N23,1,0)</f>
        <v>3</v>
      </c>
      <c r="U23" s="156"/>
      <c r="V23" s="105" t="s">
        <v>4</v>
      </c>
      <c r="W23" s="105" t="s">
        <v>62</v>
      </c>
    </row>
    <row r="24" spans="1:23" s="156" customFormat="1" ht="15">
      <c r="A24" s="146">
        <v>19</v>
      </c>
      <c r="B24" s="147"/>
      <c r="C24" s="148" t="s">
        <v>325</v>
      </c>
      <c r="D24" s="149" t="s">
        <v>296</v>
      </c>
      <c r="E24" s="67" t="s">
        <v>298</v>
      </c>
      <c r="F24" s="150">
        <f>11+20</f>
        <v>31</v>
      </c>
      <c r="G24" s="151" t="s">
        <v>298</v>
      </c>
      <c r="H24" s="67" t="s">
        <v>298</v>
      </c>
      <c r="I24" s="152">
        <f>16+42</f>
        <v>58</v>
      </c>
      <c r="J24" s="151" t="s">
        <v>294</v>
      </c>
      <c r="K24" s="67" t="s">
        <v>294</v>
      </c>
      <c r="L24" s="152">
        <f>27+21</f>
        <v>48</v>
      </c>
      <c r="M24" s="151" t="s">
        <v>298</v>
      </c>
      <c r="N24" s="67" t="s">
        <v>299</v>
      </c>
      <c r="O24" s="153">
        <f>42+6</f>
        <v>48</v>
      </c>
      <c r="P24" s="154">
        <f>F24+I24+L24+O24+IF($D$3=$D24,0,45)+IF($E$3=$E24,0,45)+IF($G$3=$G24,0,45)+IF($H$3=$H24,0,45)+IF($J$3=$J24,0,45)+IF($K$3=$K24,0,45)+IF($M$3=$M24,0,45)+IF($N$3=$N24,0,45)</f>
        <v>410</v>
      </c>
      <c r="Q24" s="155">
        <f>IF($D$3=D24,1,0)+IF($E$3=E24,1,0)+IF($G$3=G24,1,0)+IF($H$3=H24,1,0)+IF($J$3=J24,1,0)+IF($K$3=K24,1,0)+IF($M$3=M24,1,0)+IF($N$3=N24,1,0)</f>
        <v>3</v>
      </c>
      <c r="R24"/>
      <c r="S24" s="105"/>
      <c r="T24" s="105"/>
      <c r="V24" s="105" t="s">
        <v>5</v>
      </c>
      <c r="W24" s="156" t="s">
        <v>327</v>
      </c>
    </row>
    <row r="25" spans="1:23" ht="15">
      <c r="A25" s="146">
        <v>20</v>
      </c>
      <c r="B25" s="147"/>
      <c r="C25" s="148" t="s">
        <v>144</v>
      </c>
      <c r="D25" s="149" t="s">
        <v>299</v>
      </c>
      <c r="E25" s="67" t="s">
        <v>296</v>
      </c>
      <c r="F25" s="150">
        <f>3+3</f>
        <v>6</v>
      </c>
      <c r="G25" s="151" t="s">
        <v>298</v>
      </c>
      <c r="H25" s="67" t="s">
        <v>297</v>
      </c>
      <c r="I25" s="152">
        <f>12+7</f>
        <v>19</v>
      </c>
      <c r="J25" s="151" t="s">
        <v>294</v>
      </c>
      <c r="K25" s="67" t="s">
        <v>296</v>
      </c>
      <c r="L25" s="152">
        <f>13+5</f>
        <v>18</v>
      </c>
      <c r="M25" s="151" t="s">
        <v>294</v>
      </c>
      <c r="N25" s="67" t="s">
        <v>298</v>
      </c>
      <c r="O25" s="153">
        <f>15+13</f>
        <v>28</v>
      </c>
      <c r="P25" s="154">
        <f>F25+I25+L25+O25+IF($D$3=$D25,0,45)+IF($E$3=$E25,0,45)+IF($G$3=$G25,0,45)+IF($H$3=$H25,0,45)+IF($J$3=$J25,0,45)+IF($K$3=$K25,0,45)+IF($M$3=$M25,0,45)+IF($N$3=$N25,0,45)</f>
        <v>341</v>
      </c>
      <c r="Q25" s="155">
        <f>IF($D$3=D25,1,0)+IF($E$3=E25,1,0)+IF($G$3=G25,1,0)+IF($H$3=H25,1,0)+IF($J$3=J25,1,0)+IF($K$3=K25,1,0)+IF($M$3=M25,1,0)+IF($N$3=N25,1,0)</f>
        <v>2</v>
      </c>
      <c r="U25" s="156"/>
      <c r="V25" s="105" t="s">
        <v>6</v>
      </c>
      <c r="W25" s="105" t="s">
        <v>287</v>
      </c>
    </row>
    <row r="26" spans="1:21" ht="15">
      <c r="A26" s="146">
        <v>21</v>
      </c>
      <c r="B26" s="147"/>
      <c r="C26" s="148" t="s">
        <v>62</v>
      </c>
      <c r="D26" s="160" t="s">
        <v>299</v>
      </c>
      <c r="E26" s="158" t="s">
        <v>294</v>
      </c>
      <c r="F26" s="150">
        <f>23+6</f>
        <v>29</v>
      </c>
      <c r="G26" s="157" t="s">
        <v>294</v>
      </c>
      <c r="H26" s="158" t="s">
        <v>296</v>
      </c>
      <c r="I26" s="152">
        <f>15+7</f>
        <v>22</v>
      </c>
      <c r="J26" s="157" t="s">
        <v>294</v>
      </c>
      <c r="K26" s="158" t="s">
        <v>294</v>
      </c>
      <c r="L26" s="152">
        <f>28+17</f>
        <v>45</v>
      </c>
      <c r="M26" s="157" t="s">
        <v>294</v>
      </c>
      <c r="N26" s="158" t="s">
        <v>296</v>
      </c>
      <c r="O26" s="153">
        <f>29+28</f>
        <v>57</v>
      </c>
      <c r="P26" s="154">
        <f>F26+I26+L26+O26+IF($D$3=$D26,0,45)+IF($E$3=$E26,0,45)+IF($G$3=$G26,0,45)+IF($H$3=$H26,0,45)+IF($J$3=$J26,0,45)+IF($K$3=$K26,0,45)+IF($M$3=$M26,0,45)+IF($N$3=$N26,0,45)</f>
        <v>423</v>
      </c>
      <c r="Q26" s="155">
        <f>IF($D$3=D26,1,0)+IF($E$3=E26,1,0)+IF($G$3=G26,1,0)+IF($H$3=H26,1,0)+IF($J$3=J26,1,0)+IF($K$3=K26,1,0)+IF($M$3=M26,1,0)+IF($N$3=N26,1,0)</f>
        <v>2</v>
      </c>
      <c r="R26" s="156"/>
      <c r="U26" s="156"/>
    </row>
    <row r="27" spans="1:21" ht="15">
      <c r="A27" s="146">
        <v>22</v>
      </c>
      <c r="B27" s="161"/>
      <c r="C27" s="162" t="s">
        <v>326</v>
      </c>
      <c r="D27" s="149" t="s">
        <v>296</v>
      </c>
      <c r="E27" s="67" t="s">
        <v>294</v>
      </c>
      <c r="F27" s="152">
        <f>25+17</f>
        <v>42</v>
      </c>
      <c r="G27" s="151" t="s">
        <v>294</v>
      </c>
      <c r="H27" s="67" t="s">
        <v>297</v>
      </c>
      <c r="I27" s="152">
        <f>20+56</f>
        <v>76</v>
      </c>
      <c r="J27" s="151" t="s">
        <v>298</v>
      </c>
      <c r="K27" s="67" t="s">
        <v>294</v>
      </c>
      <c r="L27" s="152">
        <f>9+13</f>
        <v>22</v>
      </c>
      <c r="M27" s="151" t="s">
        <v>294</v>
      </c>
      <c r="N27" s="67" t="s">
        <v>296</v>
      </c>
      <c r="O27" s="153">
        <f>45+13</f>
        <v>58</v>
      </c>
      <c r="P27" s="154">
        <f>F27+I27+L27+O27+IF($D$3=$D27,0,45)+IF($E$3=$E27,0,45)+IF($G$3=$G27,0,45)+IF($H$3=$H27,0,45)+IF($J$3=$J27,0,45)+IF($K$3=$K27,0,45)+IF($M$3=$M27,0,45)+IF($N$3=$N27,0,45)</f>
        <v>468</v>
      </c>
      <c r="Q27" s="155">
        <f>IF($D$3=D27,1,0)+IF($E$3=E27,1,0)+IF($G$3=G27,1,0)+IF($H$3=H27,1,0)+IF($J$3=J27,1,0)+IF($K$3=K27,1,0)+IF($M$3=M27,1,0)+IF($N$3=N27,1,0)</f>
        <v>2</v>
      </c>
      <c r="S27" s="156"/>
      <c r="T27" s="156"/>
      <c r="U27" s="156"/>
    </row>
    <row r="28" spans="1:21" ht="15">
      <c r="A28" s="146">
        <v>23</v>
      </c>
      <c r="B28" s="147"/>
      <c r="C28" s="148" t="s">
        <v>327</v>
      </c>
      <c r="D28" s="149" t="s">
        <v>296</v>
      </c>
      <c r="E28" s="67" t="s">
        <v>294</v>
      </c>
      <c r="F28" s="150">
        <f>15+20</f>
        <v>35</v>
      </c>
      <c r="G28" s="151" t="s">
        <v>294</v>
      </c>
      <c r="H28" s="67" t="s">
        <v>298</v>
      </c>
      <c r="I28" s="152">
        <f>32+17</f>
        <v>49</v>
      </c>
      <c r="J28" s="151" t="s">
        <v>296</v>
      </c>
      <c r="K28" s="67" t="s">
        <v>298</v>
      </c>
      <c r="L28" s="152">
        <f>31+32</f>
        <v>63</v>
      </c>
      <c r="M28" s="151" t="s">
        <v>294</v>
      </c>
      <c r="N28" s="67" t="s">
        <v>296</v>
      </c>
      <c r="O28" s="153">
        <f>34+29</f>
        <v>63</v>
      </c>
      <c r="P28" s="154">
        <f>F28+I28+L28+O28+IF($D$3=$D28,0,45)+IF($E$3=$E28,0,45)+IF($G$3=$G28,0,45)+IF($H$3=$H28,0,45)+IF($J$3=$J28,0,45)+IF($K$3=$K28,0,45)+IF($M$3=$M28,0,45)+IF($N$3=$N28,0,45)</f>
        <v>480</v>
      </c>
      <c r="Q28" s="155">
        <f>IF($D$3=D28,1,0)+IF($E$3=E28,1,0)+IF($G$3=G28,1,0)+IF($H$3=H28,1,0)+IF($J$3=J28,1,0)+IF($K$3=K28,1,0)+IF($M$3=M28,1,0)+IF($N$3=N28,1,0)</f>
        <v>2</v>
      </c>
      <c r="U28" s="156"/>
    </row>
    <row r="29" spans="1:21" ht="15">
      <c r="A29" s="146">
        <v>24</v>
      </c>
      <c r="B29" s="161"/>
      <c r="C29" s="162" t="s">
        <v>328</v>
      </c>
      <c r="D29" s="149" t="s">
        <v>299</v>
      </c>
      <c r="E29" s="67" t="s">
        <v>299</v>
      </c>
      <c r="F29" s="152">
        <f>30+31</f>
        <v>61</v>
      </c>
      <c r="G29" s="151" t="s">
        <v>298</v>
      </c>
      <c r="H29" s="67" t="s">
        <v>297</v>
      </c>
      <c r="I29" s="152">
        <f>16+40</f>
        <v>56</v>
      </c>
      <c r="J29" s="151" t="s">
        <v>296</v>
      </c>
      <c r="K29" s="67" t="s">
        <v>297</v>
      </c>
      <c r="L29" s="152">
        <f>23+33</f>
        <v>56</v>
      </c>
      <c r="M29" s="151" t="s">
        <v>296</v>
      </c>
      <c r="N29" s="67" t="s">
        <v>299</v>
      </c>
      <c r="O29" s="153">
        <f>44+5</f>
        <v>49</v>
      </c>
      <c r="P29" s="154">
        <f>F29+I29+L29+O29+IF($D$3=$D29,0,45)+IF($E$3=$E29,0,45)+IF($G$3=$G29,0,45)+IF($H$3=$H29,0,45)+IF($J$3=$J29,0,45)+IF($K$3=$K29,0,45)+IF($M$3=$M29,0,45)+IF($N$3=$N29,0,45)</f>
        <v>492</v>
      </c>
      <c r="Q29" s="155">
        <f>IF($D$3=D29,1,0)+IF($E$3=E29,1,0)+IF($G$3=G29,1,0)+IF($H$3=H29,1,0)+IF($J$3=J29,1,0)+IF($K$3=K29,1,0)+IF($M$3=M29,1,0)+IF($N$3=N29,1,0)</f>
        <v>2</v>
      </c>
      <c r="S29" s="156"/>
      <c r="T29" s="156"/>
      <c r="U29" s="156"/>
    </row>
    <row r="30" spans="1:21" ht="15.75" thickBot="1">
      <c r="A30" s="163">
        <v>25</v>
      </c>
      <c r="B30" s="164"/>
      <c r="C30" s="165" t="s">
        <v>287</v>
      </c>
      <c r="D30" s="166" t="s">
        <v>299</v>
      </c>
      <c r="E30" s="167" t="s">
        <v>296</v>
      </c>
      <c r="F30" s="168">
        <f>14+8</f>
        <v>22</v>
      </c>
      <c r="G30" s="169" t="s">
        <v>299</v>
      </c>
      <c r="H30" s="167" t="s">
        <v>294</v>
      </c>
      <c r="I30" s="170">
        <f>29+10</f>
        <v>39</v>
      </c>
      <c r="J30" s="169" t="s">
        <v>299</v>
      </c>
      <c r="K30" s="167" t="s">
        <v>297</v>
      </c>
      <c r="L30" s="170">
        <f>38+45</f>
        <v>83</v>
      </c>
      <c r="M30" s="169" t="s">
        <v>294</v>
      </c>
      <c r="N30" s="167" t="s">
        <v>296</v>
      </c>
      <c r="O30" s="171">
        <f>27+27</f>
        <v>54</v>
      </c>
      <c r="P30" s="172">
        <f>F30+I30+L30+O30+IF($D$3=$D30,0,45)+IF($E$3=$E30,0,45)+IF($G$3=$G30,0,45)+IF($H$3=$H30,0,45)+IF($J$3=$J30,0,45)+IF($K$3=$K30,0,45)+IF($M$3=$M30,0,45)+IF($N$3=$N30,0,45)</f>
        <v>558</v>
      </c>
      <c r="Q30" s="173">
        <f>IF($D$3=D30,1,0)+IF($E$3=E30,1,0)+IF($G$3=G30,1,0)+IF($H$3=H30,1,0)+IF($J$3=J30,1,0)+IF($K$3=K30,1,0)+IF($M$3=M30,1,0)+IF($N$3=N30,1,0)</f>
        <v>0</v>
      </c>
      <c r="U30" s="156"/>
    </row>
    <row r="31" spans="3:18" s="174" customFormat="1" ht="15">
      <c r="C31" s="175"/>
      <c r="D31" s="176"/>
      <c r="E31" s="176"/>
      <c r="F31" s="177"/>
      <c r="G31" s="176"/>
      <c r="H31" s="176"/>
      <c r="I31" s="177"/>
      <c r="J31" s="176"/>
      <c r="K31" s="176"/>
      <c r="L31" s="177"/>
      <c r="M31" s="176"/>
      <c r="N31" s="176"/>
      <c r="O31" s="177"/>
      <c r="P31" s="178"/>
      <c r="Q31" s="176"/>
      <c r="R31" s="179"/>
    </row>
    <row r="32" spans="4:17" s="174" customFormat="1" ht="15">
      <c r="D32" s="176"/>
      <c r="E32" s="176"/>
      <c r="F32" s="177"/>
      <c r="G32" s="176"/>
      <c r="H32" s="176"/>
      <c r="I32" s="177"/>
      <c r="J32" s="176"/>
      <c r="K32" s="176"/>
      <c r="L32" s="177"/>
      <c r="M32" s="176"/>
      <c r="N32" s="176"/>
      <c r="O32" s="177"/>
      <c r="P32" s="178"/>
      <c r="Q32" s="176"/>
    </row>
    <row r="33" spans="3:17" s="174" customFormat="1" ht="14.25">
      <c r="C33" s="180" t="s">
        <v>329</v>
      </c>
      <c r="D33" s="181">
        <f>COUNTIF(D6:D30,D3)</f>
        <v>13</v>
      </c>
      <c r="E33" s="181">
        <f>COUNTIF(E6:E30,E3)</f>
        <v>18</v>
      </c>
      <c r="F33" s="182"/>
      <c r="G33" s="181">
        <f>COUNTIF(G6:G30,G3)</f>
        <v>10</v>
      </c>
      <c r="H33" s="181">
        <f>COUNTIF(H6:H30,H3)</f>
        <v>14</v>
      </c>
      <c r="I33" s="183"/>
      <c r="J33" s="181">
        <f>COUNTIF(J6:J30,J3)</f>
        <v>14</v>
      </c>
      <c r="K33" s="181">
        <f>COUNTIF(K6:K30,K3)</f>
        <v>8</v>
      </c>
      <c r="L33" s="183"/>
      <c r="M33" s="181">
        <f>COUNTIF(M6:M30,M3)</f>
        <v>11</v>
      </c>
      <c r="N33" s="181">
        <f>COUNTIF(N6:N30,N3)</f>
        <v>15</v>
      </c>
      <c r="O33" s="183"/>
      <c r="P33" s="184"/>
      <c r="Q33" s="181">
        <f>SUM(D33:N33)</f>
        <v>103</v>
      </c>
    </row>
    <row r="34" spans="3:17" s="174" customFormat="1" ht="14.25">
      <c r="C34" s="180" t="s">
        <v>330</v>
      </c>
      <c r="D34" s="181">
        <f>COUNTA(D6:D30)</f>
        <v>25</v>
      </c>
      <c r="E34" s="181">
        <f>COUNTA(E6:E30)</f>
        <v>25</v>
      </c>
      <c r="F34" s="182"/>
      <c r="G34" s="181">
        <f>COUNTA(G6:G30)</f>
        <v>25</v>
      </c>
      <c r="H34" s="181">
        <f>COUNTA(H6:H30)</f>
        <v>25</v>
      </c>
      <c r="I34" s="183"/>
      <c r="J34" s="181">
        <f>COUNTA(J6:J30)</f>
        <v>25</v>
      </c>
      <c r="K34" s="181">
        <f>COUNTA(K6:K30)</f>
        <v>25</v>
      </c>
      <c r="L34" s="183"/>
      <c r="M34" s="181">
        <f>COUNTA(M6:M30)</f>
        <v>25</v>
      </c>
      <c r="N34" s="181">
        <f>COUNTA(N6:N30)</f>
        <v>25</v>
      </c>
      <c r="O34" s="183"/>
      <c r="P34" s="184"/>
      <c r="Q34" s="181">
        <f>SUM(D34:N34)</f>
        <v>200</v>
      </c>
    </row>
    <row r="35" spans="3:17" s="174" customFormat="1" ht="15">
      <c r="C35" s="185" t="s">
        <v>331</v>
      </c>
      <c r="D35" s="186">
        <f>100*(D33/D34)</f>
        <v>52</v>
      </c>
      <c r="E35" s="186">
        <f>100*(E33/E34)</f>
        <v>72</v>
      </c>
      <c r="F35" s="182"/>
      <c r="G35" s="186">
        <f>100*(G33/G34)</f>
        <v>40</v>
      </c>
      <c r="H35" s="186">
        <f>100*(H33/H34)</f>
        <v>56.00000000000001</v>
      </c>
      <c r="I35" s="186"/>
      <c r="J35" s="186">
        <f>100*(J33/J34)</f>
        <v>56.00000000000001</v>
      </c>
      <c r="K35" s="186">
        <f>100*(K33/K34)</f>
        <v>32</v>
      </c>
      <c r="L35" s="186"/>
      <c r="M35" s="186">
        <f>100*(M33/M34)</f>
        <v>44</v>
      </c>
      <c r="N35" s="186">
        <f>100*(N33/N34)</f>
        <v>60</v>
      </c>
      <c r="O35" s="186"/>
      <c r="P35" s="184"/>
      <c r="Q35" s="186">
        <f>100*(Q33/Q34)</f>
        <v>51.5</v>
      </c>
    </row>
    <row r="36" spans="4:18" s="174" customFormat="1" ht="15">
      <c r="D36" s="176"/>
      <c r="E36" s="176"/>
      <c r="F36" s="177"/>
      <c r="G36" s="176"/>
      <c r="H36" s="176"/>
      <c r="I36" s="177"/>
      <c r="J36" s="176"/>
      <c r="K36" s="176"/>
      <c r="L36" s="177"/>
      <c r="M36" s="176"/>
      <c r="N36" s="176"/>
      <c r="O36" s="177"/>
      <c r="P36" s="178"/>
      <c r="Q36" s="176"/>
      <c r="R36" s="179"/>
    </row>
    <row r="37" spans="4:15" ht="15"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</row>
  </sheetData>
  <sheetProtection/>
  <mergeCells count="7">
    <mergeCell ref="A1:F1"/>
    <mergeCell ref="P1:P4"/>
    <mergeCell ref="Q1:Q4"/>
    <mergeCell ref="A2:C2"/>
    <mergeCell ref="D2:F2"/>
    <mergeCell ref="A3:A4"/>
    <mergeCell ref="B3:B4"/>
  </mergeCells>
  <conditionalFormatting sqref="G6:H30 J6:K30 D6:E30 M6:N30">
    <cfRule type="cellIs" priority="1" dxfId="18" operator="notEqual" stopIfTrue="1">
      <formula>D$3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4.7109375" style="0" customWidth="1"/>
    <col min="2" max="2" width="20.28125" style="0" customWidth="1"/>
    <col min="3" max="4" width="11.57421875" style="221" customWidth="1"/>
    <col min="5" max="5" width="11.57421875" style="222" customWidth="1"/>
    <col min="6" max="6" width="6.28125" style="194" customWidth="1"/>
    <col min="7" max="7" width="3.28125" style="9" customWidth="1"/>
    <col min="8" max="8" width="3.8515625" style="0" customWidth="1"/>
    <col min="9" max="9" width="4.00390625" style="0" customWidth="1"/>
    <col min="10" max="10" width="26.00390625" style="19" customWidth="1"/>
    <col min="11" max="11" width="9.00390625" style="0" customWidth="1"/>
  </cols>
  <sheetData>
    <row r="1" spans="1:11" ht="15.75">
      <c r="A1" s="47" t="s">
        <v>8</v>
      </c>
      <c r="B1" s="47" t="s">
        <v>0</v>
      </c>
      <c r="C1" s="217" t="s">
        <v>440</v>
      </c>
      <c r="D1" s="217" t="s">
        <v>441</v>
      </c>
      <c r="E1" s="218" t="s">
        <v>165</v>
      </c>
      <c r="F1" s="192"/>
      <c r="G1" s="36"/>
      <c r="I1" s="18" t="s">
        <v>43</v>
      </c>
      <c r="J1" s="22" t="s">
        <v>52</v>
      </c>
      <c r="K1" s="20"/>
    </row>
    <row r="2" spans="1:11" ht="15.75">
      <c r="A2" s="7" t="s">
        <v>68</v>
      </c>
      <c r="B2" s="1" t="s">
        <v>143</v>
      </c>
      <c r="C2" s="219">
        <v>0.008333333333333333</v>
      </c>
      <c r="D2" s="219">
        <v>0.012118055555555556</v>
      </c>
      <c r="E2" s="220">
        <f>D2-C2</f>
        <v>0.0037847222222222223</v>
      </c>
      <c r="F2" s="193"/>
      <c r="G2" s="35"/>
      <c r="I2" s="14" t="s">
        <v>1</v>
      </c>
      <c r="J2" s="11" t="str">
        <f aca="true" t="shared" si="0" ref="J2:J9">B2</f>
        <v>Cseke Lázár</v>
      </c>
      <c r="K2" s="21" t="s">
        <v>31</v>
      </c>
    </row>
    <row r="3" spans="1:13" ht="15.75">
      <c r="A3" s="7" t="s">
        <v>69</v>
      </c>
      <c r="B3" s="1" t="s">
        <v>148</v>
      </c>
      <c r="C3" s="219">
        <v>0.0022569444444444447</v>
      </c>
      <c r="D3" s="219">
        <v>0.006180555555555556</v>
      </c>
      <c r="E3" s="220">
        <f>D3-C3</f>
        <v>0.003923611111111112</v>
      </c>
      <c r="F3" s="193"/>
      <c r="G3" s="35"/>
      <c r="I3" s="14" t="s">
        <v>2</v>
      </c>
      <c r="J3" s="11" t="str">
        <f t="shared" si="0"/>
        <v>Szellő Roland</v>
      </c>
      <c r="K3" s="21" t="s">
        <v>32</v>
      </c>
      <c r="L3" s="17"/>
      <c r="M3" s="17"/>
    </row>
    <row r="4" spans="1:13" ht="15.75">
      <c r="A4" s="7" t="s">
        <v>70</v>
      </c>
      <c r="B4" s="1" t="s">
        <v>144</v>
      </c>
      <c r="C4" s="219">
        <v>0</v>
      </c>
      <c r="D4" s="219">
        <v>0.004872685185185186</v>
      </c>
      <c r="E4" s="220">
        <f>D4-C4</f>
        <v>0.004872685185185186</v>
      </c>
      <c r="F4" s="193"/>
      <c r="G4" s="35"/>
      <c r="I4" s="14" t="s">
        <v>3</v>
      </c>
      <c r="J4" s="11" t="str">
        <f t="shared" si="0"/>
        <v>Püsök Tibor</v>
      </c>
      <c r="K4" s="21" t="s">
        <v>33</v>
      </c>
      <c r="L4" s="17"/>
      <c r="M4" s="17"/>
    </row>
    <row r="5" spans="1:13" ht="15.75">
      <c r="A5" s="7" t="s">
        <v>71</v>
      </c>
      <c r="B5" s="216" t="s">
        <v>445</v>
      </c>
      <c r="C5" s="219">
        <v>0.00920138888888889</v>
      </c>
      <c r="D5" s="219">
        <v>0.014131944444444445</v>
      </c>
      <c r="E5" s="220">
        <f>D5-C5</f>
        <v>0.004930555555555556</v>
      </c>
      <c r="F5" s="193"/>
      <c r="I5" s="14" t="s">
        <v>4</v>
      </c>
      <c r="J5" s="11" t="str">
        <f t="shared" si="0"/>
        <v>Oláh Renátó</v>
      </c>
      <c r="K5" s="21" t="s">
        <v>34</v>
      </c>
      <c r="L5" s="17"/>
      <c r="M5" s="17"/>
    </row>
    <row r="6" spans="1:13" ht="15.75">
      <c r="A6" s="7" t="s">
        <v>72</v>
      </c>
      <c r="B6" s="1" t="s">
        <v>442</v>
      </c>
      <c r="C6" s="219">
        <v>0.0008680555555555555</v>
      </c>
      <c r="D6" s="219">
        <v>0.005960648148148149</v>
      </c>
      <c r="E6" s="220">
        <f>D6-C6</f>
        <v>0.005092592592592593</v>
      </c>
      <c r="F6" s="193"/>
      <c r="G6" s="36"/>
      <c r="I6" s="14" t="s">
        <v>5</v>
      </c>
      <c r="J6" s="11" t="str">
        <f t="shared" si="0"/>
        <v>Mailát Hunor</v>
      </c>
      <c r="K6" s="21" t="s">
        <v>35</v>
      </c>
      <c r="L6" s="17"/>
      <c r="M6" s="17"/>
    </row>
    <row r="7" spans="1:13" ht="15.75">
      <c r="A7" s="7" t="s">
        <v>73</v>
      </c>
      <c r="B7" s="1" t="s">
        <v>157</v>
      </c>
      <c r="C7" s="219">
        <v>0.0012152777777777778</v>
      </c>
      <c r="D7" s="219">
        <v>0.007662037037037037</v>
      </c>
      <c r="E7" s="220">
        <f>D7-C7</f>
        <v>0.006446759259259259</v>
      </c>
      <c r="F7" s="193"/>
      <c r="G7" s="35"/>
      <c r="I7" s="14" t="s">
        <v>6</v>
      </c>
      <c r="J7" s="11" t="str">
        <f t="shared" si="0"/>
        <v>Szarvas Dániel</v>
      </c>
      <c r="K7" s="21" t="s">
        <v>36</v>
      </c>
      <c r="L7" s="17"/>
      <c r="M7" s="17"/>
    </row>
    <row r="8" spans="1:5" ht="15.75">
      <c r="A8" s="7" t="s">
        <v>446</v>
      </c>
      <c r="B8" s="1" t="s">
        <v>443</v>
      </c>
      <c r="C8" s="219">
        <v>0.003587962962962963</v>
      </c>
      <c r="D8" s="219">
        <v>0.01537037037037037</v>
      </c>
      <c r="E8" s="220">
        <f>D8-C8</f>
        <v>0.011782407407407406</v>
      </c>
    </row>
    <row r="9" spans="1:5" ht="15.75">
      <c r="A9" s="7" t="s">
        <v>447</v>
      </c>
      <c r="B9" s="216" t="s">
        <v>444</v>
      </c>
      <c r="C9" s="219">
        <v>0.006828703703703704</v>
      </c>
      <c r="D9" s="219">
        <v>0.01909722222222222</v>
      </c>
      <c r="E9" s="220">
        <f>D9-C9</f>
        <v>0.012268518518518515</v>
      </c>
    </row>
  </sheetData>
  <sheetProtection/>
  <conditionalFormatting sqref="B2:E7 B8:B9 E3:E9">
    <cfRule type="expression" priority="1" dxfId="17">
      <formula>#REF!&lt;&gt;""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4.7109375" style="0" customWidth="1"/>
    <col min="2" max="2" width="21.28125" style="0" customWidth="1"/>
    <col min="3" max="3" width="7.28125" style="30" customWidth="1"/>
    <col min="4" max="5" width="7.28125" style="0" customWidth="1"/>
    <col min="6" max="6" width="6.8515625" style="6" customWidth="1"/>
    <col min="7" max="12" width="3.140625" style="6" customWidth="1"/>
    <col min="13" max="17" width="3.00390625" style="6" customWidth="1"/>
    <col min="18" max="18" width="3.28125" style="6" customWidth="1"/>
    <col min="19" max="19" width="4.28125" style="3" customWidth="1"/>
    <col min="20" max="20" width="3.8515625" style="0" customWidth="1"/>
    <col min="21" max="21" width="24.00390625" style="0" customWidth="1"/>
    <col min="22" max="22" width="8.140625" style="19" customWidth="1"/>
  </cols>
  <sheetData>
    <row r="1" spans="1:18" ht="15.75">
      <c r="A1" s="24" t="s">
        <v>10</v>
      </c>
      <c r="B1" s="39" t="s">
        <v>0</v>
      </c>
      <c r="C1" s="43" t="s">
        <v>45</v>
      </c>
      <c r="D1" s="42" t="s">
        <v>48</v>
      </c>
      <c r="E1" s="42" t="s">
        <v>46</v>
      </c>
      <c r="F1" s="42" t="s">
        <v>47</v>
      </c>
      <c r="G1" s="24" t="s">
        <v>1</v>
      </c>
      <c r="H1" s="39" t="s">
        <v>2</v>
      </c>
      <c r="I1" s="39" t="s">
        <v>3</v>
      </c>
      <c r="J1" s="39" t="s">
        <v>4</v>
      </c>
      <c r="K1" s="39" t="s">
        <v>5</v>
      </c>
      <c r="L1" s="39" t="s">
        <v>6</v>
      </c>
      <c r="M1" s="24" t="s">
        <v>1</v>
      </c>
      <c r="N1" s="40" t="s">
        <v>2</v>
      </c>
      <c r="O1" s="40" t="s">
        <v>3</v>
      </c>
      <c r="P1" s="40" t="s">
        <v>4</v>
      </c>
      <c r="Q1" s="40" t="s">
        <v>5</v>
      </c>
      <c r="R1" s="41" t="s">
        <v>6</v>
      </c>
    </row>
    <row r="2" spans="1:22" ht="15.75">
      <c r="A2" s="15" t="s">
        <v>1</v>
      </c>
      <c r="B2" s="11" t="s">
        <v>29</v>
      </c>
      <c r="C2" s="31">
        <f aca="true" t="shared" si="0" ref="C2:C29">IF(G2="","",SUM(G2:R2))</f>
        <v>41</v>
      </c>
      <c r="D2" s="32">
        <f aca="true" t="shared" si="1" ref="D2:D29">IF(G2="","",SUM(G2:L2))</f>
        <v>26</v>
      </c>
      <c r="E2" s="32">
        <f aca="true" t="shared" si="2" ref="E2:E29">IF(M2="","",SUM(M2:R2))</f>
        <v>15</v>
      </c>
      <c r="F2" s="33">
        <f aca="true" t="shared" si="3" ref="F2:F29">IF(G2="","",LARGE(G2:R2,1))</f>
        <v>6</v>
      </c>
      <c r="G2" s="25">
        <v>4</v>
      </c>
      <c r="H2" s="5">
        <v>6</v>
      </c>
      <c r="I2" s="5">
        <v>3</v>
      </c>
      <c r="J2" s="5">
        <v>4</v>
      </c>
      <c r="K2" s="5">
        <v>5</v>
      </c>
      <c r="L2" s="5">
        <v>4</v>
      </c>
      <c r="M2" s="25">
        <v>5</v>
      </c>
      <c r="N2" s="5">
        <v>2</v>
      </c>
      <c r="O2" s="5">
        <v>1</v>
      </c>
      <c r="P2" s="5">
        <v>1</v>
      </c>
      <c r="Q2" s="5">
        <v>5</v>
      </c>
      <c r="R2" s="28">
        <v>1</v>
      </c>
      <c r="T2" s="18" t="s">
        <v>43</v>
      </c>
      <c r="U2" s="22" t="s">
        <v>52</v>
      </c>
      <c r="V2" s="20"/>
    </row>
    <row r="3" spans="1:25" ht="15.75">
      <c r="A3" s="15" t="s">
        <v>2</v>
      </c>
      <c r="B3" s="11" t="s">
        <v>44</v>
      </c>
      <c r="C3" s="31">
        <f t="shared" si="0"/>
        <v>41</v>
      </c>
      <c r="D3" s="32">
        <f t="shared" si="1"/>
        <v>27</v>
      </c>
      <c r="E3" s="32">
        <f t="shared" si="2"/>
        <v>14</v>
      </c>
      <c r="F3" s="33">
        <f t="shared" si="3"/>
        <v>6</v>
      </c>
      <c r="G3" s="25">
        <v>6</v>
      </c>
      <c r="H3" s="5">
        <v>4</v>
      </c>
      <c r="I3" s="5">
        <v>4</v>
      </c>
      <c r="J3" s="5">
        <v>4</v>
      </c>
      <c r="K3" s="5">
        <v>4</v>
      </c>
      <c r="L3" s="5">
        <v>5</v>
      </c>
      <c r="M3" s="25">
        <v>4</v>
      </c>
      <c r="N3" s="5">
        <v>3</v>
      </c>
      <c r="O3" s="5">
        <v>1</v>
      </c>
      <c r="P3" s="5">
        <v>1</v>
      </c>
      <c r="Q3" s="5">
        <v>5</v>
      </c>
      <c r="R3" s="28">
        <v>0</v>
      </c>
      <c r="T3" s="14" t="s">
        <v>1</v>
      </c>
      <c r="U3" s="11" t="str">
        <f aca="true" t="shared" si="4" ref="U3:U8">IF(T$2="","",B2)</f>
        <v>Szarka Róbert László</v>
      </c>
      <c r="V3" s="21" t="s">
        <v>31</v>
      </c>
      <c r="W3" s="17"/>
      <c r="X3" s="17"/>
      <c r="Y3" s="17"/>
    </row>
    <row r="4" spans="1:25" ht="15.75">
      <c r="A4" s="15" t="s">
        <v>3</v>
      </c>
      <c r="B4" s="11" t="s">
        <v>63</v>
      </c>
      <c r="C4" s="31">
        <f t="shared" si="0"/>
        <v>39</v>
      </c>
      <c r="D4" s="32">
        <f t="shared" si="1"/>
        <v>26</v>
      </c>
      <c r="E4" s="32">
        <f t="shared" si="2"/>
        <v>13</v>
      </c>
      <c r="F4" s="33">
        <f t="shared" si="3"/>
        <v>5</v>
      </c>
      <c r="G4" s="25">
        <v>5</v>
      </c>
      <c r="H4" s="5">
        <v>5</v>
      </c>
      <c r="I4" s="5">
        <v>4</v>
      </c>
      <c r="J4" s="5">
        <v>4</v>
      </c>
      <c r="K4" s="5">
        <v>4</v>
      </c>
      <c r="L4" s="5">
        <v>4</v>
      </c>
      <c r="M4" s="25">
        <v>4</v>
      </c>
      <c r="N4" s="5">
        <v>0</v>
      </c>
      <c r="O4" s="5">
        <v>1</v>
      </c>
      <c r="P4" s="5">
        <v>2</v>
      </c>
      <c r="Q4" s="5">
        <v>2</v>
      </c>
      <c r="R4" s="28">
        <v>4</v>
      </c>
      <c r="T4" s="14" t="s">
        <v>2</v>
      </c>
      <c r="U4" s="11" t="str">
        <f t="shared" si="4"/>
        <v>Czabai Veronika</v>
      </c>
      <c r="V4" s="21" t="s">
        <v>32</v>
      </c>
      <c r="W4" s="17"/>
      <c r="X4" s="17"/>
      <c r="Y4" s="17"/>
    </row>
    <row r="5" spans="1:25" ht="15.75">
      <c r="A5" s="15" t="s">
        <v>4</v>
      </c>
      <c r="B5" s="11" t="s">
        <v>62</v>
      </c>
      <c r="C5" s="31">
        <f t="shared" si="0"/>
        <v>36</v>
      </c>
      <c r="D5" s="32">
        <f t="shared" si="1"/>
        <v>29</v>
      </c>
      <c r="E5" s="32">
        <f t="shared" si="2"/>
        <v>7</v>
      </c>
      <c r="F5" s="33">
        <f t="shared" si="3"/>
        <v>6</v>
      </c>
      <c r="G5" s="25">
        <v>5</v>
      </c>
      <c r="H5" s="5">
        <v>4</v>
      </c>
      <c r="I5" s="5">
        <v>4</v>
      </c>
      <c r="J5" s="5">
        <v>5</v>
      </c>
      <c r="K5" s="5">
        <v>6</v>
      </c>
      <c r="L5" s="5">
        <v>5</v>
      </c>
      <c r="M5" s="25">
        <v>3</v>
      </c>
      <c r="N5" s="5">
        <v>2</v>
      </c>
      <c r="O5" s="5">
        <v>1</v>
      </c>
      <c r="P5" s="5">
        <v>1</v>
      </c>
      <c r="Q5" s="5">
        <v>0</v>
      </c>
      <c r="R5" s="28">
        <v>0</v>
      </c>
      <c r="T5" s="14" t="s">
        <v>3</v>
      </c>
      <c r="U5" s="11" t="str">
        <f t="shared" si="4"/>
        <v>Vámosi Tibor</v>
      </c>
      <c r="V5" s="21" t="s">
        <v>33</v>
      </c>
      <c r="W5" s="17"/>
      <c r="X5" s="17"/>
      <c r="Y5" s="17"/>
    </row>
    <row r="6" spans="1:25" ht="15.75">
      <c r="A6" s="15" t="s">
        <v>5</v>
      </c>
      <c r="B6" s="11" t="s">
        <v>28</v>
      </c>
      <c r="C6" s="31">
        <f t="shared" si="0"/>
        <v>34</v>
      </c>
      <c r="D6" s="32">
        <f t="shared" si="1"/>
        <v>22</v>
      </c>
      <c r="E6" s="32">
        <f t="shared" si="2"/>
        <v>12</v>
      </c>
      <c r="F6" s="33">
        <f t="shared" si="3"/>
        <v>6</v>
      </c>
      <c r="G6" s="25">
        <v>5</v>
      </c>
      <c r="H6" s="5">
        <v>3</v>
      </c>
      <c r="I6" s="5">
        <v>2</v>
      </c>
      <c r="J6" s="5">
        <v>4</v>
      </c>
      <c r="K6" s="5">
        <v>6</v>
      </c>
      <c r="L6" s="5">
        <v>2</v>
      </c>
      <c r="M6" s="25">
        <v>3</v>
      </c>
      <c r="N6" s="5">
        <v>1</v>
      </c>
      <c r="O6" s="5">
        <v>4</v>
      </c>
      <c r="P6" s="5">
        <v>0</v>
      </c>
      <c r="Q6" s="5">
        <v>1</v>
      </c>
      <c r="R6" s="28">
        <v>3</v>
      </c>
      <c r="T6" s="14" t="s">
        <v>4</v>
      </c>
      <c r="U6" s="11" t="str">
        <f t="shared" si="4"/>
        <v>Simon Judit</v>
      </c>
      <c r="V6" s="21" t="s">
        <v>34</v>
      </c>
      <c r="W6" s="17"/>
      <c r="X6" s="17"/>
      <c r="Y6" s="17"/>
    </row>
    <row r="7" spans="1:25" ht="15.75">
      <c r="A7" s="15" t="s">
        <v>6</v>
      </c>
      <c r="B7" s="11" t="s">
        <v>61</v>
      </c>
      <c r="C7" s="31">
        <f t="shared" si="0"/>
        <v>27</v>
      </c>
      <c r="D7" s="32">
        <f t="shared" si="1"/>
        <v>21</v>
      </c>
      <c r="E7" s="32">
        <f t="shared" si="2"/>
        <v>6</v>
      </c>
      <c r="F7" s="33">
        <f t="shared" si="3"/>
        <v>5</v>
      </c>
      <c r="G7" s="25">
        <v>4</v>
      </c>
      <c r="H7" s="5">
        <v>4</v>
      </c>
      <c r="I7" s="5">
        <v>1</v>
      </c>
      <c r="J7" s="5">
        <v>4</v>
      </c>
      <c r="K7" s="5">
        <v>5</v>
      </c>
      <c r="L7" s="5">
        <v>3</v>
      </c>
      <c r="M7" s="25">
        <v>3</v>
      </c>
      <c r="N7" s="5">
        <v>0</v>
      </c>
      <c r="O7" s="5">
        <v>0</v>
      </c>
      <c r="P7" s="5">
        <v>1</v>
      </c>
      <c r="Q7" s="5">
        <v>0</v>
      </c>
      <c r="R7" s="28">
        <v>2</v>
      </c>
      <c r="T7" s="14" t="s">
        <v>5</v>
      </c>
      <c r="U7" s="11" t="str">
        <f t="shared" si="4"/>
        <v>Hluhov Roland</v>
      </c>
      <c r="V7" s="21" t="s">
        <v>35</v>
      </c>
      <c r="W7" s="17"/>
      <c r="X7" s="17"/>
      <c r="Y7" s="17"/>
    </row>
    <row r="8" spans="1:25" ht="15.75">
      <c r="A8" s="15" t="s">
        <v>7</v>
      </c>
      <c r="B8" s="11"/>
      <c r="C8" s="31">
        <f t="shared" si="0"/>
      </c>
      <c r="D8" s="32">
        <f t="shared" si="1"/>
      </c>
      <c r="E8" s="32">
        <f t="shared" si="2"/>
      </c>
      <c r="F8" s="33">
        <f t="shared" si="3"/>
      </c>
      <c r="G8" s="25"/>
      <c r="H8" s="5"/>
      <c r="I8" s="5"/>
      <c r="J8" s="5"/>
      <c r="K8" s="5"/>
      <c r="L8" s="5"/>
      <c r="M8" s="25"/>
      <c r="N8" s="5"/>
      <c r="O8" s="5"/>
      <c r="P8" s="5"/>
      <c r="Q8" s="5"/>
      <c r="R8" s="28"/>
      <c r="T8" s="48" t="s">
        <v>6</v>
      </c>
      <c r="U8" s="49" t="str">
        <f t="shared" si="4"/>
        <v>Hluhova Orsolya</v>
      </c>
      <c r="V8" s="50" t="s">
        <v>36</v>
      </c>
      <c r="W8" s="17"/>
      <c r="X8" s="17"/>
      <c r="Y8" s="17"/>
    </row>
    <row r="9" spans="1:25" ht="15.75">
      <c r="A9" s="15" t="s">
        <v>9</v>
      </c>
      <c r="B9" s="11"/>
      <c r="C9" s="31">
        <f t="shared" si="0"/>
      </c>
      <c r="D9" s="32">
        <f t="shared" si="1"/>
      </c>
      <c r="E9" s="32">
        <f t="shared" si="2"/>
      </c>
      <c r="F9" s="33">
        <f t="shared" si="3"/>
      </c>
      <c r="G9" s="25"/>
      <c r="H9" s="5"/>
      <c r="I9" s="5"/>
      <c r="J9" s="5"/>
      <c r="K9" s="5"/>
      <c r="L9" s="5"/>
      <c r="M9" s="25"/>
      <c r="N9" s="5"/>
      <c r="O9" s="5"/>
      <c r="P9" s="5"/>
      <c r="Q9" s="5"/>
      <c r="R9" s="28"/>
      <c r="T9" s="52"/>
      <c r="U9" s="52"/>
      <c r="V9" s="53"/>
      <c r="W9" s="17"/>
      <c r="X9" s="17"/>
      <c r="Y9" s="17"/>
    </row>
    <row r="10" spans="1:25" ht="15.75">
      <c r="A10" s="15" t="s">
        <v>11</v>
      </c>
      <c r="B10" s="1"/>
      <c r="C10" s="31">
        <f t="shared" si="0"/>
      </c>
      <c r="D10" s="32">
        <f t="shared" si="1"/>
      </c>
      <c r="E10" s="32">
        <f t="shared" si="2"/>
      </c>
      <c r="F10" s="33">
        <f t="shared" si="3"/>
      </c>
      <c r="G10" s="25"/>
      <c r="H10" s="5"/>
      <c r="I10" s="5"/>
      <c r="J10" s="5"/>
      <c r="K10" s="5"/>
      <c r="L10" s="5"/>
      <c r="M10" s="25"/>
      <c r="N10" s="5"/>
      <c r="O10" s="5"/>
      <c r="P10" s="5"/>
      <c r="Q10" s="5"/>
      <c r="R10" s="28"/>
      <c r="T10" s="38"/>
      <c r="U10" s="38"/>
      <c r="V10" s="51"/>
      <c r="W10" s="17"/>
      <c r="X10" s="17"/>
      <c r="Y10" s="17"/>
    </row>
    <row r="11" spans="1:18" ht="15.75">
      <c r="A11" s="15" t="s">
        <v>12</v>
      </c>
      <c r="B11" s="1"/>
      <c r="C11" s="31">
        <f t="shared" si="0"/>
      </c>
      <c r="D11" s="32">
        <f t="shared" si="1"/>
      </c>
      <c r="E11" s="32">
        <f t="shared" si="2"/>
      </c>
      <c r="F11" s="33">
        <f t="shared" si="3"/>
      </c>
      <c r="G11" s="25"/>
      <c r="H11" s="5"/>
      <c r="I11" s="5"/>
      <c r="J11" s="5"/>
      <c r="K11" s="5"/>
      <c r="L11" s="5"/>
      <c r="M11" s="25"/>
      <c r="N11" s="5"/>
      <c r="O11" s="5"/>
      <c r="P11" s="5"/>
      <c r="Q11" s="5"/>
      <c r="R11" s="28"/>
    </row>
    <row r="12" spans="1:18" ht="15.75">
      <c r="A12" s="15" t="s">
        <v>13</v>
      </c>
      <c r="B12" s="1"/>
      <c r="C12" s="31">
        <f t="shared" si="0"/>
      </c>
      <c r="D12" s="32">
        <f t="shared" si="1"/>
      </c>
      <c r="E12" s="32">
        <f t="shared" si="2"/>
      </c>
      <c r="F12" s="33">
        <f t="shared" si="3"/>
      </c>
      <c r="G12" s="25"/>
      <c r="H12" s="5"/>
      <c r="I12" s="5"/>
      <c r="J12" s="5"/>
      <c r="K12" s="5"/>
      <c r="L12" s="5"/>
      <c r="M12" s="25"/>
      <c r="N12" s="5"/>
      <c r="O12" s="5"/>
      <c r="P12" s="5"/>
      <c r="Q12" s="5"/>
      <c r="R12" s="28"/>
    </row>
    <row r="13" spans="1:18" ht="15.75">
      <c r="A13" s="15" t="s">
        <v>14</v>
      </c>
      <c r="B13" s="1"/>
      <c r="C13" s="31">
        <f t="shared" si="0"/>
      </c>
      <c r="D13" s="32">
        <f t="shared" si="1"/>
      </c>
      <c r="E13" s="32">
        <f t="shared" si="2"/>
      </c>
      <c r="F13" s="33">
        <f t="shared" si="3"/>
      </c>
      <c r="G13" s="25"/>
      <c r="H13" s="5"/>
      <c r="I13" s="5"/>
      <c r="J13" s="5"/>
      <c r="K13" s="5"/>
      <c r="L13" s="5"/>
      <c r="M13" s="25"/>
      <c r="N13" s="5"/>
      <c r="O13" s="5"/>
      <c r="P13" s="5"/>
      <c r="Q13" s="5"/>
      <c r="R13" s="28"/>
    </row>
    <row r="14" spans="1:18" ht="15.75">
      <c r="A14" s="15" t="s">
        <v>16</v>
      </c>
      <c r="B14" s="1"/>
      <c r="C14" s="31">
        <f t="shared" si="0"/>
      </c>
      <c r="D14" s="32">
        <f t="shared" si="1"/>
      </c>
      <c r="E14" s="32">
        <f t="shared" si="2"/>
      </c>
      <c r="F14" s="33">
        <f t="shared" si="3"/>
      </c>
      <c r="G14" s="25"/>
      <c r="H14" s="5"/>
      <c r="I14" s="5"/>
      <c r="J14" s="5"/>
      <c r="K14" s="5"/>
      <c r="L14" s="5"/>
      <c r="M14" s="25"/>
      <c r="N14" s="5"/>
      <c r="O14" s="5"/>
      <c r="P14" s="5"/>
      <c r="Q14" s="5"/>
      <c r="R14" s="28"/>
    </row>
    <row r="15" spans="1:18" ht="15.75">
      <c r="A15" s="15" t="s">
        <v>17</v>
      </c>
      <c r="B15" s="1"/>
      <c r="C15" s="31">
        <f t="shared" si="0"/>
      </c>
      <c r="D15" s="32">
        <f t="shared" si="1"/>
      </c>
      <c r="E15" s="32">
        <f t="shared" si="2"/>
      </c>
      <c r="F15" s="33">
        <f t="shared" si="3"/>
      </c>
      <c r="G15" s="25"/>
      <c r="H15" s="5"/>
      <c r="I15" s="5"/>
      <c r="J15" s="5"/>
      <c r="K15" s="5"/>
      <c r="L15" s="5"/>
      <c r="M15" s="25"/>
      <c r="N15" s="5"/>
      <c r="O15" s="5"/>
      <c r="P15" s="5"/>
      <c r="Q15" s="5"/>
      <c r="R15" s="28"/>
    </row>
    <row r="16" spans="1:18" ht="15.75">
      <c r="A16" s="15" t="s">
        <v>18</v>
      </c>
      <c r="B16" s="1"/>
      <c r="C16" s="31">
        <f t="shared" si="0"/>
      </c>
      <c r="D16" s="32">
        <f t="shared" si="1"/>
      </c>
      <c r="E16" s="32">
        <f t="shared" si="2"/>
      </c>
      <c r="F16" s="33">
        <f t="shared" si="3"/>
      </c>
      <c r="G16" s="25"/>
      <c r="H16" s="5"/>
      <c r="I16" s="5"/>
      <c r="J16" s="5"/>
      <c r="K16" s="5"/>
      <c r="L16" s="5"/>
      <c r="M16" s="25"/>
      <c r="N16" s="5"/>
      <c r="O16" s="5"/>
      <c r="P16" s="5"/>
      <c r="Q16" s="5"/>
      <c r="R16" s="28"/>
    </row>
    <row r="17" spans="1:18" ht="15.75">
      <c r="A17" s="15" t="s">
        <v>19</v>
      </c>
      <c r="B17" s="1"/>
      <c r="C17" s="31">
        <f t="shared" si="0"/>
      </c>
      <c r="D17" s="32">
        <f t="shared" si="1"/>
      </c>
      <c r="E17" s="32">
        <f t="shared" si="2"/>
      </c>
      <c r="F17" s="33">
        <f t="shared" si="3"/>
      </c>
      <c r="G17" s="25"/>
      <c r="H17" s="5"/>
      <c r="I17" s="5"/>
      <c r="J17" s="5"/>
      <c r="K17" s="5"/>
      <c r="L17" s="5"/>
      <c r="M17" s="25"/>
      <c r="N17" s="5"/>
      <c r="O17" s="5"/>
      <c r="P17" s="5"/>
      <c r="Q17" s="5"/>
      <c r="R17" s="26"/>
    </row>
    <row r="18" spans="1:18" ht="15.75">
      <c r="A18" s="15" t="s">
        <v>20</v>
      </c>
      <c r="B18" s="1"/>
      <c r="C18" s="31">
        <f t="shared" si="0"/>
      </c>
      <c r="D18" s="32">
        <f t="shared" si="1"/>
      </c>
      <c r="E18" s="32">
        <f t="shared" si="2"/>
      </c>
      <c r="F18" s="33">
        <f t="shared" si="3"/>
      </c>
      <c r="G18" s="25"/>
      <c r="H18" s="5"/>
      <c r="I18" s="5"/>
      <c r="J18" s="5"/>
      <c r="K18" s="5"/>
      <c r="L18" s="5"/>
      <c r="M18" s="25"/>
      <c r="N18" s="5"/>
      <c r="O18" s="5"/>
      <c r="P18" s="5"/>
      <c r="Q18" s="5"/>
      <c r="R18" s="28"/>
    </row>
    <row r="19" spans="1:18" ht="15.75">
      <c r="A19" s="15" t="s">
        <v>21</v>
      </c>
      <c r="B19" s="1"/>
      <c r="C19" s="31">
        <f t="shared" si="0"/>
      </c>
      <c r="D19" s="32">
        <f t="shared" si="1"/>
      </c>
      <c r="E19" s="32">
        <f t="shared" si="2"/>
      </c>
      <c r="F19" s="33">
        <f t="shared" si="3"/>
      </c>
      <c r="G19" s="25"/>
      <c r="H19" s="5"/>
      <c r="I19" s="5"/>
      <c r="J19" s="5"/>
      <c r="K19" s="5"/>
      <c r="L19" s="5"/>
      <c r="M19" s="25"/>
      <c r="N19" s="5"/>
      <c r="O19" s="5"/>
      <c r="P19" s="5"/>
      <c r="Q19" s="5"/>
      <c r="R19" s="28"/>
    </row>
    <row r="20" spans="1:18" ht="15.75">
      <c r="A20" s="15" t="s">
        <v>22</v>
      </c>
      <c r="B20" s="1"/>
      <c r="C20" s="31">
        <f t="shared" si="0"/>
      </c>
      <c r="D20" s="32">
        <f t="shared" si="1"/>
      </c>
      <c r="E20" s="32">
        <f t="shared" si="2"/>
      </c>
      <c r="F20" s="33">
        <f t="shared" si="3"/>
      </c>
      <c r="G20" s="25"/>
      <c r="H20" s="5"/>
      <c r="I20" s="5"/>
      <c r="J20" s="5"/>
      <c r="K20" s="5"/>
      <c r="L20" s="5"/>
      <c r="M20" s="25"/>
      <c r="N20" s="5"/>
      <c r="O20" s="5"/>
      <c r="P20" s="5"/>
      <c r="Q20" s="5"/>
      <c r="R20" s="28"/>
    </row>
    <row r="21" spans="1:18" ht="15.75">
      <c r="A21" s="15" t="s">
        <v>23</v>
      </c>
      <c r="B21" s="1"/>
      <c r="C21" s="31">
        <f t="shared" si="0"/>
      </c>
      <c r="D21" s="32">
        <f t="shared" si="1"/>
      </c>
      <c r="E21" s="32">
        <f t="shared" si="2"/>
      </c>
      <c r="F21" s="33">
        <f t="shared" si="3"/>
      </c>
      <c r="G21" s="25"/>
      <c r="H21" s="5"/>
      <c r="I21" s="5"/>
      <c r="J21" s="5"/>
      <c r="K21" s="5"/>
      <c r="L21" s="5"/>
      <c r="M21" s="25"/>
      <c r="N21" s="5"/>
      <c r="O21" s="5"/>
      <c r="P21" s="5"/>
      <c r="Q21" s="5"/>
      <c r="R21" s="28"/>
    </row>
    <row r="22" spans="1:18" ht="15.75">
      <c r="A22" s="15" t="s">
        <v>24</v>
      </c>
      <c r="B22" s="1"/>
      <c r="C22" s="31">
        <f t="shared" si="0"/>
      </c>
      <c r="D22" s="32">
        <f t="shared" si="1"/>
      </c>
      <c r="E22" s="32">
        <f t="shared" si="2"/>
      </c>
      <c r="F22" s="33">
        <f t="shared" si="3"/>
      </c>
      <c r="G22" s="25"/>
      <c r="H22" s="5"/>
      <c r="I22" s="5"/>
      <c r="J22" s="5"/>
      <c r="K22" s="5"/>
      <c r="L22" s="5"/>
      <c r="M22" s="25"/>
      <c r="N22" s="5"/>
      <c r="O22" s="5"/>
      <c r="P22" s="5"/>
      <c r="Q22" s="5"/>
      <c r="R22" s="28"/>
    </row>
    <row r="23" spans="1:18" ht="15.75">
      <c r="A23" s="15" t="s">
        <v>25</v>
      </c>
      <c r="B23" s="1"/>
      <c r="C23" s="31">
        <f t="shared" si="0"/>
      </c>
      <c r="D23" s="32">
        <f t="shared" si="1"/>
      </c>
      <c r="E23" s="32">
        <f t="shared" si="2"/>
      </c>
      <c r="F23" s="33">
        <f t="shared" si="3"/>
      </c>
      <c r="G23" s="25"/>
      <c r="H23" s="5"/>
      <c r="I23" s="5"/>
      <c r="J23" s="5"/>
      <c r="K23" s="5"/>
      <c r="L23" s="5"/>
      <c r="M23" s="25"/>
      <c r="N23" s="5"/>
      <c r="O23" s="5"/>
      <c r="P23" s="5"/>
      <c r="Q23" s="5"/>
      <c r="R23" s="26"/>
    </row>
    <row r="24" spans="1:18" ht="15.75">
      <c r="A24" s="15" t="s">
        <v>26</v>
      </c>
      <c r="B24" s="1"/>
      <c r="C24" s="31">
        <f t="shared" si="0"/>
      </c>
      <c r="D24" s="32">
        <f t="shared" si="1"/>
      </c>
      <c r="E24" s="32">
        <f t="shared" si="2"/>
      </c>
      <c r="F24" s="33">
        <f t="shared" si="3"/>
      </c>
      <c r="G24" s="25"/>
      <c r="H24" s="5"/>
      <c r="I24" s="5"/>
      <c r="J24" s="5"/>
      <c r="K24" s="5"/>
      <c r="L24" s="5"/>
      <c r="M24" s="25"/>
      <c r="N24" s="5"/>
      <c r="O24" s="5"/>
      <c r="P24" s="5"/>
      <c r="Q24" s="5"/>
      <c r="R24" s="28"/>
    </row>
    <row r="25" spans="1:18" ht="15.75">
      <c r="A25" s="15" t="s">
        <v>27</v>
      </c>
      <c r="B25" s="1"/>
      <c r="C25" s="31">
        <f t="shared" si="0"/>
      </c>
      <c r="D25" s="32">
        <f t="shared" si="1"/>
      </c>
      <c r="E25" s="32">
        <f t="shared" si="2"/>
      </c>
      <c r="F25" s="33">
        <f t="shared" si="3"/>
      </c>
      <c r="G25" s="25"/>
      <c r="H25" s="5"/>
      <c r="I25" s="5"/>
      <c r="J25" s="5"/>
      <c r="K25" s="5"/>
      <c r="L25" s="5"/>
      <c r="M25" s="25"/>
      <c r="N25" s="5"/>
      <c r="O25" s="5"/>
      <c r="P25" s="5"/>
      <c r="Q25" s="5"/>
      <c r="R25" s="28"/>
    </row>
    <row r="26" spans="1:18" ht="15.75">
      <c r="A26" s="15" t="s">
        <v>30</v>
      </c>
      <c r="B26" s="1"/>
      <c r="C26" s="31">
        <f t="shared" si="0"/>
      </c>
      <c r="D26" s="32">
        <f t="shared" si="1"/>
      </c>
      <c r="E26" s="32">
        <f t="shared" si="2"/>
      </c>
      <c r="F26" s="33">
        <f t="shared" si="3"/>
      </c>
      <c r="G26" s="25"/>
      <c r="H26" s="5"/>
      <c r="I26" s="5"/>
      <c r="J26" s="5"/>
      <c r="K26" s="5"/>
      <c r="L26" s="5"/>
      <c r="M26" s="25"/>
      <c r="N26" s="5"/>
      <c r="O26" s="5"/>
      <c r="P26" s="5"/>
      <c r="Q26" s="5"/>
      <c r="R26" s="28"/>
    </row>
    <row r="27" spans="1:18" ht="15.75">
      <c r="A27" s="15" t="s">
        <v>49</v>
      </c>
      <c r="B27" s="1"/>
      <c r="C27" s="31">
        <f t="shared" si="0"/>
      </c>
      <c r="D27" s="32">
        <f t="shared" si="1"/>
      </c>
      <c r="E27" s="32">
        <f t="shared" si="2"/>
      </c>
      <c r="F27" s="33">
        <f t="shared" si="3"/>
      </c>
      <c r="G27" s="25"/>
      <c r="H27" s="5"/>
      <c r="I27" s="5"/>
      <c r="J27" s="5"/>
      <c r="K27" s="5"/>
      <c r="L27" s="5"/>
      <c r="M27" s="25"/>
      <c r="N27" s="5"/>
      <c r="O27" s="5"/>
      <c r="P27" s="5"/>
      <c r="Q27" s="5"/>
      <c r="R27" s="28"/>
    </row>
    <row r="28" spans="1:18" ht="15.75">
      <c r="A28" s="15" t="s">
        <v>50</v>
      </c>
      <c r="B28" s="1"/>
      <c r="C28" s="31">
        <f t="shared" si="0"/>
      </c>
      <c r="D28" s="32">
        <f t="shared" si="1"/>
      </c>
      <c r="E28" s="32">
        <f t="shared" si="2"/>
      </c>
      <c r="F28" s="33">
        <f t="shared" si="3"/>
      </c>
      <c r="G28" s="25"/>
      <c r="H28" s="5"/>
      <c r="I28" s="5"/>
      <c r="J28" s="5"/>
      <c r="K28" s="5"/>
      <c r="L28" s="5"/>
      <c r="M28" s="25"/>
      <c r="N28" s="5"/>
      <c r="O28" s="5"/>
      <c r="P28" s="5"/>
      <c r="Q28" s="5"/>
      <c r="R28" s="28"/>
    </row>
    <row r="29" spans="1:18" ht="16.5" thickBot="1">
      <c r="A29" s="16" t="s">
        <v>51</v>
      </c>
      <c r="B29" s="2"/>
      <c r="C29" s="44">
        <f t="shared" si="0"/>
      </c>
      <c r="D29" s="45">
        <f t="shared" si="1"/>
      </c>
      <c r="E29" s="45">
        <f t="shared" si="2"/>
      </c>
      <c r="F29" s="46">
        <f t="shared" si="3"/>
      </c>
      <c r="G29" s="27"/>
      <c r="H29" s="8"/>
      <c r="I29" s="8"/>
      <c r="J29" s="8"/>
      <c r="K29" s="8"/>
      <c r="L29" s="8"/>
      <c r="M29" s="27"/>
      <c r="N29" s="8"/>
      <c r="O29" s="8"/>
      <c r="P29" s="8"/>
      <c r="Q29" s="8"/>
      <c r="R29" s="29"/>
    </row>
  </sheetData>
  <sheetProtection/>
  <conditionalFormatting sqref="B2:E29">
    <cfRule type="expression" priority="1" dxfId="17">
      <formula>#REF!&lt;&gt;""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&amp;CSzabadsport Bajnokság
2010.07.27.</oddHeader>
    <oddFooter>&amp;CLengőteke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7109375" style="0" customWidth="1"/>
    <col min="2" max="2" width="20.28125" style="0" customWidth="1"/>
    <col min="3" max="3" width="6.28125" style="30" customWidth="1"/>
    <col min="4" max="4" width="3.28125" style="9" customWidth="1"/>
    <col min="5" max="5" width="3.8515625" style="0" customWidth="1"/>
    <col min="6" max="6" width="4.00390625" style="0" customWidth="1"/>
    <col min="7" max="7" width="26.00390625" style="19" customWidth="1"/>
    <col min="8" max="8" width="9.00390625" style="0" customWidth="1"/>
  </cols>
  <sheetData>
    <row r="1" spans="1:8" ht="15.75">
      <c r="A1" s="47" t="s">
        <v>8</v>
      </c>
      <c r="B1" s="34" t="s">
        <v>0</v>
      </c>
      <c r="C1" s="36"/>
      <c r="D1" s="36"/>
      <c r="F1" s="18" t="s">
        <v>43</v>
      </c>
      <c r="G1" s="22" t="s">
        <v>52</v>
      </c>
      <c r="H1" s="20"/>
    </row>
    <row r="2" spans="1:8" ht="15.75">
      <c r="A2" s="7" t="s">
        <v>68</v>
      </c>
      <c r="B2" s="1" t="s">
        <v>64</v>
      </c>
      <c r="C2" s="35"/>
      <c r="D2" s="35"/>
      <c r="F2" s="14" t="s">
        <v>1</v>
      </c>
      <c r="G2" s="11" t="str">
        <f aca="true" t="shared" si="0" ref="G2:G7">B2</f>
        <v>Csakmag Martin</v>
      </c>
      <c r="H2" s="21" t="s">
        <v>31</v>
      </c>
    </row>
    <row r="3" spans="1:10" ht="15.75">
      <c r="A3" s="7" t="s">
        <v>69</v>
      </c>
      <c r="B3" s="1" t="s">
        <v>65</v>
      </c>
      <c r="C3" s="35"/>
      <c r="D3" s="35"/>
      <c r="F3" s="14" t="s">
        <v>2</v>
      </c>
      <c r="G3" s="11" t="str">
        <f t="shared" si="0"/>
        <v>Farkas Béla</v>
      </c>
      <c r="H3" s="21" t="s">
        <v>32</v>
      </c>
      <c r="I3" s="17"/>
      <c r="J3" s="17"/>
    </row>
    <row r="4" spans="1:10" ht="15.75">
      <c r="A4" s="7" t="s">
        <v>70</v>
      </c>
      <c r="B4" s="1" t="s">
        <v>76</v>
      </c>
      <c r="C4" s="35"/>
      <c r="D4" s="35"/>
      <c r="F4" s="14" t="s">
        <v>3</v>
      </c>
      <c r="G4" s="11" t="str">
        <f t="shared" si="0"/>
        <v>Hackler Krisztián</v>
      </c>
      <c r="H4" s="21" t="s">
        <v>33</v>
      </c>
      <c r="I4" s="17"/>
      <c r="J4" s="17"/>
    </row>
    <row r="5" spans="1:10" ht="15.75">
      <c r="A5" s="7" t="s">
        <v>71</v>
      </c>
      <c r="B5" s="1" t="s">
        <v>66</v>
      </c>
      <c r="C5" s="35"/>
      <c r="F5" s="14" t="s">
        <v>4</v>
      </c>
      <c r="G5" s="11" t="str">
        <f t="shared" si="0"/>
        <v>Ignéczi Norbert</v>
      </c>
      <c r="H5" s="21" t="s">
        <v>34</v>
      </c>
      <c r="I5" s="17"/>
      <c r="J5" s="17"/>
    </row>
    <row r="6" spans="1:10" ht="15.75">
      <c r="A6" s="7" t="s">
        <v>72</v>
      </c>
      <c r="B6" s="1" t="s">
        <v>67</v>
      </c>
      <c r="C6" s="35"/>
      <c r="D6" s="36"/>
      <c r="F6" s="14" t="s">
        <v>5</v>
      </c>
      <c r="G6" s="11" t="str">
        <f t="shared" si="0"/>
        <v>Osztó Dávid</v>
      </c>
      <c r="H6" s="21" t="s">
        <v>35</v>
      </c>
      <c r="I6" s="17"/>
      <c r="J6" s="17"/>
    </row>
    <row r="7" spans="1:10" ht="15.75">
      <c r="A7" s="7" t="s">
        <v>73</v>
      </c>
      <c r="B7" s="1" t="s">
        <v>61</v>
      </c>
      <c r="C7" s="35"/>
      <c r="D7" s="35"/>
      <c r="F7" s="14" t="s">
        <v>6</v>
      </c>
      <c r="G7" s="11" t="str">
        <f t="shared" si="0"/>
        <v>Hluhova Orsolya</v>
      </c>
      <c r="H7" s="21" t="s">
        <v>36</v>
      </c>
      <c r="I7" s="17"/>
      <c r="J7" s="17"/>
    </row>
  </sheetData>
  <sheetProtection/>
  <conditionalFormatting sqref="B2:B7">
    <cfRule type="expression" priority="1" dxfId="17">
      <formula>#REF!&lt;&gt;""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7109375" style="0" customWidth="1"/>
    <col min="2" max="2" width="21.28125" style="0" customWidth="1"/>
    <col min="3" max="3" width="12.140625" style="0" customWidth="1"/>
    <col min="4" max="4" width="5.421875" style="0" customWidth="1"/>
    <col min="5" max="5" width="3.00390625" style="0" customWidth="1"/>
    <col min="6" max="6" width="27.57421875" style="0" customWidth="1"/>
  </cols>
  <sheetData>
    <row r="1" spans="1:7" ht="21.75" customHeight="1" thickBot="1">
      <c r="A1" s="59" t="s">
        <v>10</v>
      </c>
      <c r="B1" s="60" t="s">
        <v>0</v>
      </c>
      <c r="C1" s="4" t="s">
        <v>15</v>
      </c>
      <c r="D1" s="55"/>
      <c r="E1" s="18" t="s">
        <v>43</v>
      </c>
      <c r="F1" s="22" t="s">
        <v>52</v>
      </c>
      <c r="G1" s="20"/>
    </row>
    <row r="2" spans="1:7" ht="16.5" customHeight="1">
      <c r="A2" s="64" t="s">
        <v>1</v>
      </c>
      <c r="B2" s="65" t="s">
        <v>116</v>
      </c>
      <c r="C2" s="66">
        <v>351</v>
      </c>
      <c r="E2" s="14" t="s">
        <v>1</v>
      </c>
      <c r="F2" s="11" t="str">
        <f aca="true" t="shared" si="0" ref="F2:F7">B2</f>
        <v>Tóth Valentina</v>
      </c>
      <c r="G2" s="21" t="s">
        <v>31</v>
      </c>
    </row>
    <row r="3" spans="1:7" ht="15" customHeight="1">
      <c r="A3" s="15" t="s">
        <v>2</v>
      </c>
      <c r="B3" s="1" t="s">
        <v>74</v>
      </c>
      <c r="C3" s="61">
        <v>289</v>
      </c>
      <c r="E3" s="14" t="s">
        <v>2</v>
      </c>
      <c r="F3" s="11" t="str">
        <f t="shared" si="0"/>
        <v>Farkas György</v>
      </c>
      <c r="G3" s="21" t="s">
        <v>32</v>
      </c>
    </row>
    <row r="4" spans="1:7" ht="15">
      <c r="A4" s="15" t="s">
        <v>3</v>
      </c>
      <c r="B4" s="1" t="s">
        <v>108</v>
      </c>
      <c r="C4" s="61">
        <v>252</v>
      </c>
      <c r="E4" s="14" t="s">
        <v>3</v>
      </c>
      <c r="F4" s="11" t="str">
        <f t="shared" si="0"/>
        <v>Pleva Milán</v>
      </c>
      <c r="G4" s="21" t="s">
        <v>33</v>
      </c>
    </row>
    <row r="5" spans="1:7" ht="15">
      <c r="A5" s="15" t="s">
        <v>4</v>
      </c>
      <c r="B5" s="1" t="s">
        <v>95</v>
      </c>
      <c r="C5" s="61">
        <v>249</v>
      </c>
      <c r="E5" s="14" t="s">
        <v>4</v>
      </c>
      <c r="F5" s="11" t="str">
        <f t="shared" si="0"/>
        <v>Micsinyei László</v>
      </c>
      <c r="G5" s="21" t="s">
        <v>34</v>
      </c>
    </row>
    <row r="6" spans="1:7" ht="15">
      <c r="A6" s="15" t="s">
        <v>5</v>
      </c>
      <c r="B6" s="1" t="s">
        <v>87</v>
      </c>
      <c r="C6" s="61">
        <v>242</v>
      </c>
      <c r="E6" s="14" t="s">
        <v>5</v>
      </c>
      <c r="F6" s="11" t="str">
        <f t="shared" si="0"/>
        <v>Bogdán Cintia</v>
      </c>
      <c r="G6" s="21" t="s">
        <v>35</v>
      </c>
    </row>
    <row r="7" spans="1:7" ht="15">
      <c r="A7" s="15" t="s">
        <v>6</v>
      </c>
      <c r="B7" s="1" t="s">
        <v>75</v>
      </c>
      <c r="C7" s="61">
        <v>232</v>
      </c>
      <c r="E7" s="14" t="s">
        <v>6</v>
      </c>
      <c r="F7" s="11" t="str">
        <f t="shared" si="0"/>
        <v>Burghardt Dominik</v>
      </c>
      <c r="G7" s="21" t="s">
        <v>36</v>
      </c>
    </row>
    <row r="8" spans="1:3" ht="15">
      <c r="A8" s="15" t="s">
        <v>7</v>
      </c>
      <c r="B8" s="1" t="s">
        <v>111</v>
      </c>
      <c r="C8" s="61">
        <v>231</v>
      </c>
    </row>
    <row r="9" spans="1:3" ht="15" customHeight="1">
      <c r="A9" s="15"/>
      <c r="B9" s="1" t="s">
        <v>114</v>
      </c>
      <c r="C9" s="61">
        <v>231</v>
      </c>
    </row>
    <row r="10" spans="1:4" s="3" customFormat="1" ht="15" customHeight="1">
      <c r="A10" s="15" t="s">
        <v>11</v>
      </c>
      <c r="B10" s="1" t="s">
        <v>112</v>
      </c>
      <c r="C10" s="61">
        <v>230</v>
      </c>
      <c r="D10"/>
    </row>
    <row r="11" spans="1:3" ht="15">
      <c r="A11" s="15" t="s">
        <v>12</v>
      </c>
      <c r="B11" s="1" t="s">
        <v>92</v>
      </c>
      <c r="C11" s="61">
        <v>222</v>
      </c>
    </row>
    <row r="12" spans="1:3" ht="15">
      <c r="A12" s="15" t="s">
        <v>13</v>
      </c>
      <c r="B12" s="1" t="s">
        <v>103</v>
      </c>
      <c r="C12" s="61">
        <v>220</v>
      </c>
    </row>
    <row r="13" spans="1:3" ht="15">
      <c r="A13" s="15" t="s">
        <v>14</v>
      </c>
      <c r="B13" s="1" t="s">
        <v>61</v>
      </c>
      <c r="C13" s="61">
        <v>212</v>
      </c>
    </row>
    <row r="14" spans="1:3" ht="15">
      <c r="A14" s="15" t="s">
        <v>16</v>
      </c>
      <c r="B14" s="1" t="s">
        <v>104</v>
      </c>
      <c r="C14" s="61">
        <v>209</v>
      </c>
    </row>
    <row r="15" spans="1:3" ht="15">
      <c r="A15" s="15" t="s">
        <v>17</v>
      </c>
      <c r="B15" s="1" t="s">
        <v>79</v>
      </c>
      <c r="C15" s="61">
        <v>205</v>
      </c>
    </row>
    <row r="16" spans="1:3" ht="15">
      <c r="A16" s="15" t="s">
        <v>18</v>
      </c>
      <c r="B16" s="1" t="s">
        <v>93</v>
      </c>
      <c r="C16" s="61">
        <v>204</v>
      </c>
    </row>
    <row r="17" spans="1:3" ht="15">
      <c r="A17" s="15" t="s">
        <v>19</v>
      </c>
      <c r="B17" s="1" t="s">
        <v>109</v>
      </c>
      <c r="C17" s="61">
        <v>203</v>
      </c>
    </row>
    <row r="18" spans="1:3" ht="15">
      <c r="A18" s="15" t="s">
        <v>20</v>
      </c>
      <c r="B18" s="1" t="s">
        <v>65</v>
      </c>
      <c r="C18" s="61">
        <v>198</v>
      </c>
    </row>
    <row r="19" spans="1:3" ht="15">
      <c r="A19" s="15" t="s">
        <v>21</v>
      </c>
      <c r="B19" s="1" t="s">
        <v>99</v>
      </c>
      <c r="C19" s="61">
        <v>196</v>
      </c>
    </row>
    <row r="20" spans="1:3" ht="15">
      <c r="A20" s="15" t="s">
        <v>22</v>
      </c>
      <c r="B20" s="1" t="s">
        <v>84</v>
      </c>
      <c r="C20" s="61">
        <v>192</v>
      </c>
    </row>
    <row r="21" spans="1:3" ht="15">
      <c r="A21" s="15" t="s">
        <v>23</v>
      </c>
      <c r="B21" s="1" t="s">
        <v>83</v>
      </c>
      <c r="C21" s="61">
        <v>187</v>
      </c>
    </row>
    <row r="22" spans="1:3" ht="15">
      <c r="A22" s="15" t="s">
        <v>24</v>
      </c>
      <c r="B22" s="1" t="s">
        <v>85</v>
      </c>
      <c r="C22" s="61">
        <v>185</v>
      </c>
    </row>
    <row r="23" spans="1:3" ht="15">
      <c r="A23" s="15" t="s">
        <v>25</v>
      </c>
      <c r="B23" s="1" t="s">
        <v>80</v>
      </c>
      <c r="C23" s="61">
        <v>181</v>
      </c>
    </row>
    <row r="24" spans="1:3" ht="15">
      <c r="A24" s="15" t="s">
        <v>26</v>
      </c>
      <c r="B24" s="1" t="s">
        <v>96</v>
      </c>
      <c r="C24" s="61">
        <v>175</v>
      </c>
    </row>
    <row r="25" spans="1:3" ht="15">
      <c r="A25" s="15"/>
      <c r="B25" s="1" t="s">
        <v>110</v>
      </c>
      <c r="C25" s="61">
        <v>175</v>
      </c>
    </row>
    <row r="26" spans="1:3" ht="15">
      <c r="A26" s="15" t="s">
        <v>30</v>
      </c>
      <c r="B26" s="1" t="s">
        <v>78</v>
      </c>
      <c r="C26" s="61">
        <v>173</v>
      </c>
    </row>
    <row r="27" spans="1:3" ht="15">
      <c r="A27" s="15" t="s">
        <v>49</v>
      </c>
      <c r="B27" s="1" t="s">
        <v>88</v>
      </c>
      <c r="C27" s="61">
        <v>172</v>
      </c>
    </row>
    <row r="28" spans="1:3" ht="15">
      <c r="A28" s="15" t="s">
        <v>50</v>
      </c>
      <c r="B28" s="1" t="s">
        <v>86</v>
      </c>
      <c r="C28" s="61">
        <v>168</v>
      </c>
    </row>
    <row r="29" spans="1:3" ht="15">
      <c r="A29" s="15" t="s">
        <v>51</v>
      </c>
      <c r="B29" s="1" t="s">
        <v>107</v>
      </c>
      <c r="C29" s="61">
        <v>161</v>
      </c>
    </row>
    <row r="30" spans="1:3" ht="15">
      <c r="A30" s="15" t="s">
        <v>117</v>
      </c>
      <c r="B30" s="1" t="s">
        <v>115</v>
      </c>
      <c r="C30" s="61">
        <v>160</v>
      </c>
    </row>
    <row r="31" spans="1:3" ht="15">
      <c r="A31" s="15" t="s">
        <v>118</v>
      </c>
      <c r="B31" s="1" t="s">
        <v>89</v>
      </c>
      <c r="C31" s="61">
        <v>158</v>
      </c>
    </row>
    <row r="32" spans="1:3" ht="15">
      <c r="A32" s="15" t="s">
        <v>119</v>
      </c>
      <c r="B32" s="1" t="s">
        <v>105</v>
      </c>
      <c r="C32" s="61">
        <v>154</v>
      </c>
    </row>
    <row r="33" spans="1:3" ht="15">
      <c r="A33" s="15" t="s">
        <v>120</v>
      </c>
      <c r="B33" s="1" t="s">
        <v>77</v>
      </c>
      <c r="C33" s="61">
        <v>152</v>
      </c>
    </row>
    <row r="34" spans="1:3" ht="15">
      <c r="A34" s="15" t="s">
        <v>121</v>
      </c>
      <c r="B34" s="1" t="s">
        <v>101</v>
      </c>
      <c r="C34" s="61">
        <v>151</v>
      </c>
    </row>
    <row r="35" spans="1:3" ht="15">
      <c r="A35" s="15" t="s">
        <v>122</v>
      </c>
      <c r="B35" s="1" t="s">
        <v>76</v>
      </c>
      <c r="C35" s="61">
        <v>148</v>
      </c>
    </row>
    <row r="36" spans="1:3" ht="15">
      <c r="A36" s="15"/>
      <c r="B36" s="1" t="s">
        <v>28</v>
      </c>
      <c r="C36" s="61">
        <v>148</v>
      </c>
    </row>
    <row r="37" spans="1:3" ht="15">
      <c r="A37" s="15" t="s">
        <v>123</v>
      </c>
      <c r="B37" s="1" t="s">
        <v>102</v>
      </c>
      <c r="C37" s="61">
        <v>126</v>
      </c>
    </row>
    <row r="38" spans="1:3" ht="15">
      <c r="A38" s="15" t="s">
        <v>124</v>
      </c>
      <c r="B38" s="1" t="s">
        <v>81</v>
      </c>
      <c r="C38" s="61">
        <v>114</v>
      </c>
    </row>
    <row r="39" spans="1:3" ht="15">
      <c r="A39" s="15" t="s">
        <v>125</v>
      </c>
      <c r="B39" s="1" t="s">
        <v>94</v>
      </c>
      <c r="C39" s="61">
        <v>111</v>
      </c>
    </row>
    <row r="40" spans="1:3" ht="15">
      <c r="A40" s="15" t="s">
        <v>126</v>
      </c>
      <c r="B40" s="1" t="s">
        <v>100</v>
      </c>
      <c r="C40" s="61">
        <v>99</v>
      </c>
    </row>
    <row r="41" spans="1:3" ht="15">
      <c r="A41" s="15" t="s">
        <v>127</v>
      </c>
      <c r="B41" s="1" t="s">
        <v>82</v>
      </c>
      <c r="C41" s="61">
        <v>89</v>
      </c>
    </row>
    <row r="42" spans="1:3" ht="15">
      <c r="A42" s="15" t="s">
        <v>128</v>
      </c>
      <c r="B42" s="1" t="s">
        <v>113</v>
      </c>
      <c r="C42" s="61">
        <v>70</v>
      </c>
    </row>
    <row r="43" spans="1:3" ht="15">
      <c r="A43" s="15" t="s">
        <v>129</v>
      </c>
      <c r="B43" s="1" t="s">
        <v>67</v>
      </c>
      <c r="C43" s="61">
        <v>69</v>
      </c>
    </row>
    <row r="44" spans="1:3" ht="15">
      <c r="A44" s="15" t="s">
        <v>130</v>
      </c>
      <c r="B44" s="1" t="s">
        <v>98</v>
      </c>
      <c r="C44" s="61">
        <v>43</v>
      </c>
    </row>
    <row r="45" spans="1:3" ht="15">
      <c r="A45" s="15" t="s">
        <v>131</v>
      </c>
      <c r="B45" s="1" t="s">
        <v>97</v>
      </c>
      <c r="C45" s="61">
        <v>42</v>
      </c>
    </row>
    <row r="46" spans="1:3" ht="15">
      <c r="A46" s="15" t="s">
        <v>132</v>
      </c>
      <c r="B46" s="1" t="s">
        <v>106</v>
      </c>
      <c r="C46" s="61">
        <v>41</v>
      </c>
    </row>
    <row r="47" spans="1:3" ht="15">
      <c r="A47" s="15" t="s">
        <v>133</v>
      </c>
      <c r="B47" s="1" t="s">
        <v>90</v>
      </c>
      <c r="C47" s="61">
        <v>23</v>
      </c>
    </row>
    <row r="48" spans="1:3" ht="15.75" thickBot="1">
      <c r="A48" s="16" t="s">
        <v>134</v>
      </c>
      <c r="B48" s="2" t="s">
        <v>91</v>
      </c>
      <c r="C48" s="62">
        <v>19</v>
      </c>
    </row>
    <row r="49" spans="1:4" ht="15">
      <c r="A49" s="63"/>
      <c r="B49" s="37"/>
      <c r="C49" s="63"/>
      <c r="D49" s="37"/>
    </row>
    <row r="50" spans="1:4" ht="15">
      <c r="A50" s="63"/>
      <c r="B50" s="37"/>
      <c r="C50" s="63"/>
      <c r="D50" s="37"/>
    </row>
    <row r="51" spans="1:4" ht="15">
      <c r="A51" s="63"/>
      <c r="B51" s="37"/>
      <c r="C51" s="63"/>
      <c r="D51" s="37"/>
    </row>
    <row r="52" spans="1:4" ht="15">
      <c r="A52" s="63"/>
      <c r="B52" s="37"/>
      <c r="C52" s="63"/>
      <c r="D52" s="37"/>
    </row>
    <row r="53" spans="1:4" ht="15">
      <c r="A53" s="63"/>
      <c r="B53" s="37"/>
      <c r="C53" s="63"/>
      <c r="D53" s="37"/>
    </row>
    <row r="54" spans="1:4" ht="15">
      <c r="A54" s="63"/>
      <c r="B54" s="37"/>
      <c r="C54" s="63"/>
      <c r="D54" s="37"/>
    </row>
    <row r="55" spans="1:4" ht="15">
      <c r="A55" s="63"/>
      <c r="B55" s="37"/>
      <c r="C55" s="63"/>
      <c r="D55" s="37"/>
    </row>
    <row r="56" spans="1:4" ht="15">
      <c r="A56" s="63"/>
      <c r="B56" s="37"/>
      <c r="C56" s="63"/>
      <c r="D56" s="37"/>
    </row>
    <row r="57" spans="1:4" ht="15">
      <c r="A57" s="63"/>
      <c r="B57" s="37"/>
      <c r="C57" s="63"/>
      <c r="D57" s="37"/>
    </row>
    <row r="58" spans="1:4" ht="15">
      <c r="A58" s="63"/>
      <c r="B58" s="37"/>
      <c r="C58" s="63"/>
      <c r="D58" s="37"/>
    </row>
    <row r="59" spans="1:4" ht="15">
      <c r="A59" s="63"/>
      <c r="B59" s="37"/>
      <c r="C59" s="63"/>
      <c r="D59" s="37"/>
    </row>
    <row r="60" spans="1:4" ht="15">
      <c r="A60" s="63"/>
      <c r="B60" s="37"/>
      <c r="C60" s="63"/>
      <c r="D60" s="37"/>
    </row>
    <row r="61" spans="1:4" ht="15">
      <c r="A61" s="63"/>
      <c r="B61" s="37"/>
      <c r="C61" s="63"/>
      <c r="D61" s="37"/>
    </row>
    <row r="62" spans="1:4" ht="15">
      <c r="A62" s="63"/>
      <c r="B62" s="37"/>
      <c r="C62" s="63"/>
      <c r="D62" s="37"/>
    </row>
    <row r="63" spans="1:4" ht="15">
      <c r="A63" s="63"/>
      <c r="B63" s="37"/>
      <c r="C63" s="63"/>
      <c r="D63" s="37"/>
    </row>
    <row r="64" spans="1:4" ht="15">
      <c r="A64" s="63"/>
      <c r="B64" s="37"/>
      <c r="C64" s="63"/>
      <c r="D64" s="37"/>
    </row>
    <row r="65" spans="1:4" ht="15">
      <c r="A65" s="63"/>
      <c r="B65" s="37"/>
      <c r="C65" s="63"/>
      <c r="D65" s="37"/>
    </row>
    <row r="66" spans="1:4" ht="15">
      <c r="A66" s="63"/>
      <c r="B66" s="37"/>
      <c r="C66" s="63"/>
      <c r="D66" s="37"/>
    </row>
    <row r="67" spans="1:4" ht="15">
      <c r="A67" s="63"/>
      <c r="B67" s="37"/>
      <c r="C67" s="63"/>
      <c r="D67" s="37"/>
    </row>
    <row r="68" spans="1:4" ht="15">
      <c r="A68" s="63"/>
      <c r="B68" s="37"/>
      <c r="C68" s="63"/>
      <c r="D68" s="37"/>
    </row>
    <row r="69" spans="1:4" ht="15">
      <c r="A69" s="63"/>
      <c r="B69" s="37"/>
      <c r="C69" s="63"/>
      <c r="D69" s="37"/>
    </row>
    <row r="70" spans="1:4" ht="15">
      <c r="A70" s="63"/>
      <c r="B70" s="37"/>
      <c r="C70" s="63"/>
      <c r="D70" s="37"/>
    </row>
    <row r="71" spans="1:4" ht="15">
      <c r="A71" s="63"/>
      <c r="B71" s="37"/>
      <c r="C71" s="63"/>
      <c r="D71" s="37"/>
    </row>
    <row r="72" spans="1:4" ht="15">
      <c r="A72" s="63"/>
      <c r="B72" s="37"/>
      <c r="C72" s="63"/>
      <c r="D72" s="37"/>
    </row>
    <row r="73" spans="1:4" ht="15">
      <c r="A73" s="63"/>
      <c r="B73" s="37"/>
      <c r="C73" s="63"/>
      <c r="D73" s="37"/>
    </row>
    <row r="74" spans="1:4" ht="15">
      <c r="A74" s="63"/>
      <c r="B74" s="37"/>
      <c r="C74" s="63"/>
      <c r="D74" s="37"/>
    </row>
    <row r="75" spans="1:4" ht="15">
      <c r="A75" s="63"/>
      <c r="B75" s="37"/>
      <c r="C75" s="63"/>
      <c r="D75" s="37"/>
    </row>
    <row r="76" spans="1:4" ht="15">
      <c r="A76" s="63"/>
      <c r="B76" s="37"/>
      <c r="C76" s="63"/>
      <c r="D76" s="37"/>
    </row>
    <row r="77" spans="1:4" ht="15">
      <c r="A77" s="63"/>
      <c r="B77" s="37"/>
      <c r="C77" s="63"/>
      <c r="D77" s="37"/>
    </row>
    <row r="78" spans="1:4" ht="15">
      <c r="A78" s="63"/>
      <c r="B78" s="37"/>
      <c r="C78" s="63"/>
      <c r="D78" s="37"/>
    </row>
    <row r="79" spans="1:4" ht="15">
      <c r="A79" s="63"/>
      <c r="B79" s="37"/>
      <c r="C79" s="63"/>
      <c r="D79" s="37"/>
    </row>
    <row r="80" spans="1:4" ht="15">
      <c r="A80" s="63"/>
      <c r="B80" s="37"/>
      <c r="C80" s="63"/>
      <c r="D80" s="37"/>
    </row>
    <row r="81" spans="1:4" ht="15">
      <c r="A81" s="63"/>
      <c r="B81" s="37"/>
      <c r="C81" s="63"/>
      <c r="D81" s="37"/>
    </row>
    <row r="82" spans="1:4" ht="15">
      <c r="A82" s="63"/>
      <c r="B82" s="37"/>
      <c r="C82" s="63"/>
      <c r="D82" s="37"/>
    </row>
    <row r="83" spans="1:4" ht="15">
      <c r="A83" s="63"/>
      <c r="B83" s="37"/>
      <c r="C83" s="63"/>
      <c r="D83" s="37"/>
    </row>
    <row r="84" spans="1:4" ht="15">
      <c r="A84" s="63"/>
      <c r="B84" s="37"/>
      <c r="C84" s="63"/>
      <c r="D84" s="37"/>
    </row>
    <row r="85" spans="1:4" ht="15">
      <c r="A85" s="63"/>
      <c r="B85" s="37"/>
      <c r="C85" s="63"/>
      <c r="D85" s="37"/>
    </row>
    <row r="86" spans="1:4" ht="15">
      <c r="A86" s="63"/>
      <c r="B86" s="37"/>
      <c r="C86" s="63"/>
      <c r="D86" s="37"/>
    </row>
    <row r="87" spans="1:4" ht="15">
      <c r="A87" s="63"/>
      <c r="B87" s="37"/>
      <c r="C87" s="63"/>
      <c r="D87" s="37"/>
    </row>
    <row r="88" spans="1:4" ht="15">
      <c r="A88" s="63"/>
      <c r="B88" s="37"/>
      <c r="C88" s="63"/>
      <c r="D88" s="37"/>
    </row>
    <row r="89" spans="1:4" ht="15">
      <c r="A89" s="63"/>
      <c r="B89" s="37"/>
      <c r="C89" s="63"/>
      <c r="D89" s="37"/>
    </row>
    <row r="90" spans="1:4" ht="15">
      <c r="A90" s="63"/>
      <c r="B90" s="37"/>
      <c r="C90" s="63"/>
      <c r="D90" s="37"/>
    </row>
    <row r="91" spans="1:4" ht="15">
      <c r="A91" s="63"/>
      <c r="B91" s="37"/>
      <c r="C91" s="63"/>
      <c r="D91" s="37"/>
    </row>
    <row r="92" spans="1:4" ht="15">
      <c r="A92" s="63"/>
      <c r="B92" s="37"/>
      <c r="C92" s="63"/>
      <c r="D92" s="37"/>
    </row>
    <row r="93" spans="1:4" ht="15">
      <c r="A93" s="63"/>
      <c r="B93" s="37"/>
      <c r="C93" s="63"/>
      <c r="D93" s="37"/>
    </row>
    <row r="94" spans="1:4" ht="15">
      <c r="A94" s="63"/>
      <c r="B94" s="37"/>
      <c r="C94" s="63"/>
      <c r="D94" s="37"/>
    </row>
    <row r="95" spans="1:4" ht="15">
      <c r="A95" s="63"/>
      <c r="B95" s="37"/>
      <c r="C95" s="63"/>
      <c r="D95" s="37"/>
    </row>
    <row r="96" spans="1:4" ht="15">
      <c r="A96" s="37"/>
      <c r="B96" s="37"/>
      <c r="C96" s="37"/>
      <c r="D96" s="37"/>
    </row>
    <row r="97" spans="1:4" ht="15">
      <c r="A97" s="37"/>
      <c r="B97" s="37"/>
      <c r="C97" s="37"/>
      <c r="D97" s="37"/>
    </row>
    <row r="98" spans="1:4" ht="15">
      <c r="A98" s="37"/>
      <c r="B98" s="37"/>
      <c r="C98" s="37"/>
      <c r="D98" s="37"/>
    </row>
    <row r="99" spans="1:4" ht="15">
      <c r="A99" s="37"/>
      <c r="B99" s="37"/>
      <c r="C99" s="37"/>
      <c r="D99" s="37"/>
    </row>
    <row r="100" spans="1:4" ht="15">
      <c r="A100" s="37"/>
      <c r="B100" s="37"/>
      <c r="C100" s="37"/>
      <c r="D100" s="37"/>
    </row>
    <row r="101" spans="1:4" ht="15">
      <c r="A101" s="37"/>
      <c r="B101" s="37"/>
      <c r="C101" s="37"/>
      <c r="D101" s="37"/>
    </row>
    <row r="102" spans="1:4" ht="15">
      <c r="A102" s="37"/>
      <c r="B102" s="37"/>
      <c r="C102" s="37"/>
      <c r="D102" s="37"/>
    </row>
    <row r="103" spans="1:4" ht="15">
      <c r="A103" s="37"/>
      <c r="B103" s="37"/>
      <c r="C103" s="37"/>
      <c r="D103" s="37"/>
    </row>
    <row r="104" spans="1:4" ht="15">
      <c r="A104" s="37"/>
      <c r="B104" s="37"/>
      <c r="C104" s="37"/>
      <c r="D104" s="37"/>
    </row>
    <row r="105" spans="1:4" ht="15">
      <c r="A105" s="37"/>
      <c r="B105" s="37"/>
      <c r="C105" s="37"/>
      <c r="D105" s="37"/>
    </row>
    <row r="106" spans="1:4" ht="15">
      <c r="A106" s="37"/>
      <c r="B106" s="37"/>
      <c r="C106" s="37"/>
      <c r="D106" s="37"/>
    </row>
    <row r="107" spans="1:4" ht="15">
      <c r="A107" s="37"/>
      <c r="B107" s="37"/>
      <c r="C107" s="37"/>
      <c r="D107" s="37"/>
    </row>
    <row r="108" spans="1:4" ht="15">
      <c r="A108" s="37"/>
      <c r="B108" s="37"/>
      <c r="C108" s="37"/>
      <c r="D108" s="37"/>
    </row>
    <row r="109" spans="1:4" ht="15">
      <c r="A109" s="37"/>
      <c r="B109" s="37"/>
      <c r="C109" s="37"/>
      <c r="D109" s="37"/>
    </row>
    <row r="110" spans="1:4" ht="15">
      <c r="A110" s="37"/>
      <c r="B110" s="37"/>
      <c r="C110" s="37"/>
      <c r="D110" s="37"/>
    </row>
    <row r="111" spans="1:4" ht="15">
      <c r="A111" s="37"/>
      <c r="B111" s="37"/>
      <c r="C111" s="37"/>
      <c r="D111" s="37"/>
    </row>
    <row r="112" spans="1:4" ht="15">
      <c r="A112" s="37"/>
      <c r="B112" s="37"/>
      <c r="C112" s="37"/>
      <c r="D112" s="37"/>
    </row>
    <row r="113" spans="1:4" ht="15">
      <c r="A113" s="37"/>
      <c r="B113" s="37"/>
      <c r="C113" s="37"/>
      <c r="D113" s="37"/>
    </row>
  </sheetData>
  <sheetProtection/>
  <conditionalFormatting sqref="B2:B95">
    <cfRule type="expression" priority="14" dxfId="17">
      <formula>#REF!&lt;&gt;""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0" customWidth="1"/>
    <col min="2" max="2" width="20.28125" style="0" customWidth="1"/>
    <col min="3" max="3" width="6.28125" style="30" customWidth="1"/>
    <col min="4" max="4" width="3.28125" style="9" customWidth="1"/>
    <col min="5" max="5" width="3.8515625" style="0" customWidth="1"/>
    <col min="6" max="6" width="4.00390625" style="0" customWidth="1"/>
    <col min="7" max="7" width="26.00390625" style="19" customWidth="1"/>
    <col min="8" max="8" width="9.00390625" style="0" customWidth="1"/>
  </cols>
  <sheetData>
    <row r="1" spans="1:8" ht="15.75">
      <c r="A1" s="47" t="s">
        <v>8</v>
      </c>
      <c r="B1" s="47" t="s">
        <v>0</v>
      </c>
      <c r="C1" s="36"/>
      <c r="D1" s="36"/>
      <c r="F1" s="18" t="s">
        <v>43</v>
      </c>
      <c r="G1" s="22" t="s">
        <v>52</v>
      </c>
      <c r="H1" s="20"/>
    </row>
    <row r="2" spans="1:8" ht="15.75">
      <c r="A2" s="7" t="s">
        <v>68</v>
      </c>
      <c r="B2" s="1" t="s">
        <v>135</v>
      </c>
      <c r="C2" s="35"/>
      <c r="D2" s="35"/>
      <c r="F2" s="14" t="s">
        <v>1</v>
      </c>
      <c r="G2" s="11" t="str">
        <f aca="true" t="shared" si="0" ref="G2:G7">B2</f>
        <v>Jónás Kata</v>
      </c>
      <c r="H2" s="21" t="s">
        <v>31</v>
      </c>
    </row>
    <row r="3" spans="1:10" ht="15.75">
      <c r="A3" s="7" t="s">
        <v>69</v>
      </c>
      <c r="B3" s="1" t="s">
        <v>136</v>
      </c>
      <c r="C3" s="35"/>
      <c r="D3" s="35"/>
      <c r="F3" s="14" t="s">
        <v>2</v>
      </c>
      <c r="G3" s="11" t="str">
        <f t="shared" si="0"/>
        <v>Farkas Gyuszika</v>
      </c>
      <c r="H3" s="21" t="s">
        <v>32</v>
      </c>
      <c r="I3" s="17"/>
      <c r="J3" s="17"/>
    </row>
    <row r="4" spans="1:10" ht="15.75">
      <c r="A4" s="7" t="s">
        <v>70</v>
      </c>
      <c r="B4" s="1" t="s">
        <v>99</v>
      </c>
      <c r="C4" s="35"/>
      <c r="D4" s="35"/>
      <c r="F4" s="14" t="s">
        <v>3</v>
      </c>
      <c r="G4" s="11" t="str">
        <f t="shared" si="0"/>
        <v>Hackler Péter</v>
      </c>
      <c r="H4" s="21" t="s">
        <v>33</v>
      </c>
      <c r="I4" s="17"/>
      <c r="J4" s="17"/>
    </row>
    <row r="5" spans="1:10" ht="15.75">
      <c r="A5" s="7" t="s">
        <v>71</v>
      </c>
      <c r="B5" s="1" t="s">
        <v>137</v>
      </c>
      <c r="C5" s="35"/>
      <c r="F5" s="14" t="s">
        <v>4</v>
      </c>
      <c r="G5" s="11" t="str">
        <f t="shared" si="0"/>
        <v>Gorcsakovszki Dani</v>
      </c>
      <c r="H5" s="21" t="s">
        <v>34</v>
      </c>
      <c r="I5" s="17"/>
      <c r="J5" s="17"/>
    </row>
    <row r="6" spans="1:10" ht="15.75">
      <c r="A6" s="7" t="s">
        <v>72</v>
      </c>
      <c r="B6" s="1" t="s">
        <v>138</v>
      </c>
      <c r="C6" s="35"/>
      <c r="D6" s="36"/>
      <c r="F6" s="14" t="s">
        <v>5</v>
      </c>
      <c r="G6" s="11" t="str">
        <f t="shared" si="0"/>
        <v>Ramos Ricardo</v>
      </c>
      <c r="H6" s="21" t="s">
        <v>35</v>
      </c>
      <c r="I6" s="17"/>
      <c r="J6" s="17"/>
    </row>
    <row r="7" spans="1:10" ht="15.75">
      <c r="A7" s="7" t="s">
        <v>73</v>
      </c>
      <c r="B7" s="1" t="s">
        <v>87</v>
      </c>
      <c r="C7" s="35"/>
      <c r="D7" s="35"/>
      <c r="F7" s="14" t="s">
        <v>6</v>
      </c>
      <c r="G7" s="11" t="str">
        <f t="shared" si="0"/>
        <v>Bogdán Cintia</v>
      </c>
      <c r="H7" s="21" t="s">
        <v>36</v>
      </c>
      <c r="I7" s="17"/>
      <c r="J7" s="17"/>
    </row>
  </sheetData>
  <sheetProtection/>
  <conditionalFormatting sqref="B2:B7">
    <cfRule type="expression" priority="1" dxfId="17">
      <formula>#REF!&lt;&gt;""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1"/>
  <sheetViews>
    <sheetView zoomScalePageLayoutView="0" workbookViewId="0" topLeftCell="A1">
      <selection activeCell="M2" sqref="M2:O8"/>
    </sheetView>
  </sheetViews>
  <sheetFormatPr defaultColWidth="9.140625" defaultRowHeight="15"/>
  <cols>
    <col min="1" max="1" width="5.421875" style="0" customWidth="1"/>
    <col min="2" max="2" width="25.28125" style="69" customWidth="1"/>
    <col min="3" max="3" width="12.00390625" style="0" customWidth="1"/>
    <col min="4" max="9" width="5.00390625" style="0" customWidth="1"/>
    <col min="13" max="13" width="2.8515625" style="0" customWidth="1"/>
    <col min="14" max="14" width="25.7109375" style="0" customWidth="1"/>
  </cols>
  <sheetData>
    <row r="2" spans="1:15" ht="15">
      <c r="A2" s="1" t="s">
        <v>10</v>
      </c>
      <c r="B2" s="67" t="s">
        <v>0</v>
      </c>
      <c r="C2" s="67" t="s">
        <v>139</v>
      </c>
      <c r="D2" s="67" t="s">
        <v>1</v>
      </c>
      <c r="E2" s="67" t="s">
        <v>2</v>
      </c>
      <c r="F2" s="67" t="s">
        <v>3</v>
      </c>
      <c r="G2" s="67" t="s">
        <v>4</v>
      </c>
      <c r="H2" s="67" t="s">
        <v>5</v>
      </c>
      <c r="I2" s="67" t="s">
        <v>6</v>
      </c>
      <c r="J2" s="67" t="s">
        <v>42</v>
      </c>
      <c r="K2" s="67" t="s">
        <v>8</v>
      </c>
      <c r="M2" s="18" t="s">
        <v>43</v>
      </c>
      <c r="N2" s="22" t="s">
        <v>52</v>
      </c>
      <c r="O2" s="20"/>
    </row>
    <row r="3" spans="1:15" ht="24.75" customHeight="1">
      <c r="A3" s="1" t="s">
        <v>1</v>
      </c>
      <c r="B3" s="68" t="s">
        <v>140</v>
      </c>
      <c r="C3" s="67" t="s">
        <v>141</v>
      </c>
      <c r="D3" s="67">
        <v>6</v>
      </c>
      <c r="E3" s="67">
        <v>10</v>
      </c>
      <c r="F3" s="67">
        <v>10</v>
      </c>
      <c r="G3" s="67">
        <v>4</v>
      </c>
      <c r="H3" s="67">
        <v>8</v>
      </c>
      <c r="I3" s="67">
        <v>15</v>
      </c>
      <c r="J3" s="67">
        <f aca="true" t="shared" si="0" ref="J3:J21">SUM(D3:I3)-IF(COUNT(D3:I3)=6,SMALL(D3:I3,1),0)</f>
        <v>49</v>
      </c>
      <c r="K3" s="67"/>
      <c r="M3" s="14" t="s">
        <v>1</v>
      </c>
      <c r="N3" s="11" t="str">
        <f aca="true" t="shared" si="1" ref="N3:N8">B3</f>
        <v>Cser Viktor</v>
      </c>
      <c r="O3" s="21" t="s">
        <v>31</v>
      </c>
    </row>
    <row r="4" spans="1:15" ht="24.75" customHeight="1">
      <c r="A4" s="1" t="s">
        <v>2</v>
      </c>
      <c r="B4" s="68" t="s">
        <v>154</v>
      </c>
      <c r="C4" s="67" t="s">
        <v>146</v>
      </c>
      <c r="D4" s="67">
        <v>4</v>
      </c>
      <c r="E4" s="67">
        <v>6</v>
      </c>
      <c r="F4" s="67">
        <v>15</v>
      </c>
      <c r="G4" s="67">
        <v>0</v>
      </c>
      <c r="H4" s="67">
        <v>6</v>
      </c>
      <c r="I4" s="67">
        <v>15</v>
      </c>
      <c r="J4" s="67">
        <f t="shared" si="0"/>
        <v>46</v>
      </c>
      <c r="K4" s="67"/>
      <c r="M4" s="14" t="s">
        <v>2</v>
      </c>
      <c r="N4" s="11" t="str">
        <f t="shared" si="1"/>
        <v>Rotter Patrik</v>
      </c>
      <c r="O4" s="21" t="s">
        <v>32</v>
      </c>
    </row>
    <row r="5" spans="1:15" ht="24.75" customHeight="1">
      <c r="A5" s="1" t="s">
        <v>3</v>
      </c>
      <c r="B5" s="68" t="s">
        <v>144</v>
      </c>
      <c r="C5" s="67" t="s">
        <v>141</v>
      </c>
      <c r="D5" s="67">
        <v>0</v>
      </c>
      <c r="E5" s="67">
        <v>5</v>
      </c>
      <c r="F5" s="67">
        <v>7</v>
      </c>
      <c r="G5" s="67">
        <v>5</v>
      </c>
      <c r="H5" s="67">
        <v>6</v>
      </c>
      <c r="I5" s="67">
        <v>8</v>
      </c>
      <c r="J5" s="67">
        <f t="shared" si="0"/>
        <v>31</v>
      </c>
      <c r="K5" s="67"/>
      <c r="M5" s="14" t="s">
        <v>3</v>
      </c>
      <c r="N5" s="11" t="str">
        <f t="shared" si="1"/>
        <v>Püsök Tibor</v>
      </c>
      <c r="O5" s="21" t="s">
        <v>33</v>
      </c>
    </row>
    <row r="6" spans="1:15" ht="24.75" customHeight="1">
      <c r="A6" s="1" t="s">
        <v>4</v>
      </c>
      <c r="B6" s="68" t="s">
        <v>143</v>
      </c>
      <c r="C6" s="67" t="s">
        <v>141</v>
      </c>
      <c r="D6" s="67">
        <v>0</v>
      </c>
      <c r="E6" s="67">
        <v>5</v>
      </c>
      <c r="F6" s="67">
        <v>6</v>
      </c>
      <c r="G6" s="67">
        <v>2</v>
      </c>
      <c r="H6" s="67">
        <v>3</v>
      </c>
      <c r="I6" s="67">
        <v>4</v>
      </c>
      <c r="J6" s="67">
        <f t="shared" si="0"/>
        <v>20</v>
      </c>
      <c r="K6" s="67"/>
      <c r="M6" s="14" t="s">
        <v>4</v>
      </c>
      <c r="N6" s="11" t="str">
        <f t="shared" si="1"/>
        <v>Cseke Lázár</v>
      </c>
      <c r="O6" s="21" t="s">
        <v>34</v>
      </c>
    </row>
    <row r="7" spans="1:15" ht="24.75" customHeight="1">
      <c r="A7" s="1" t="s">
        <v>5</v>
      </c>
      <c r="B7" s="68" t="s">
        <v>162</v>
      </c>
      <c r="C7" s="67" t="s">
        <v>159</v>
      </c>
      <c r="D7" s="67">
        <v>0</v>
      </c>
      <c r="E7" s="67">
        <v>0</v>
      </c>
      <c r="F7" s="67">
        <v>0</v>
      </c>
      <c r="G7" s="67">
        <v>3</v>
      </c>
      <c r="H7" s="67">
        <v>6</v>
      </c>
      <c r="I7" s="67">
        <v>9</v>
      </c>
      <c r="J7" s="67">
        <f t="shared" si="0"/>
        <v>18</v>
      </c>
      <c r="K7" s="67"/>
      <c r="M7" s="14" t="s">
        <v>5</v>
      </c>
      <c r="N7" s="11" t="str">
        <f t="shared" si="1"/>
        <v>Veréb Dávid</v>
      </c>
      <c r="O7" s="21" t="s">
        <v>35</v>
      </c>
    </row>
    <row r="8" spans="1:15" ht="24.75" customHeight="1">
      <c r="A8" s="1" t="s">
        <v>6</v>
      </c>
      <c r="B8" s="68" t="s">
        <v>148</v>
      </c>
      <c r="C8" s="67" t="s">
        <v>141</v>
      </c>
      <c r="D8" s="67">
        <v>1</v>
      </c>
      <c r="E8" s="67">
        <v>2</v>
      </c>
      <c r="F8" s="67">
        <v>4</v>
      </c>
      <c r="G8" s="67">
        <v>0</v>
      </c>
      <c r="H8" s="67">
        <v>4</v>
      </c>
      <c r="I8" s="67">
        <v>6</v>
      </c>
      <c r="J8" s="67">
        <f t="shared" si="0"/>
        <v>17</v>
      </c>
      <c r="K8" s="67"/>
      <c r="M8" s="14" t="s">
        <v>6</v>
      </c>
      <c r="N8" s="11" t="str">
        <f t="shared" si="1"/>
        <v>Szellő Roland</v>
      </c>
      <c r="O8" s="21" t="s">
        <v>36</v>
      </c>
    </row>
    <row r="9" spans="1:11" ht="24.75" customHeight="1">
      <c r="A9" s="1" t="s">
        <v>7</v>
      </c>
      <c r="B9" s="68" t="s">
        <v>142</v>
      </c>
      <c r="C9" s="67" t="s">
        <v>141</v>
      </c>
      <c r="D9" s="67">
        <v>0</v>
      </c>
      <c r="E9" s="67">
        <v>0</v>
      </c>
      <c r="F9" s="67">
        <v>1</v>
      </c>
      <c r="G9" s="67" t="s">
        <v>43</v>
      </c>
      <c r="H9" s="67">
        <v>5</v>
      </c>
      <c r="I9" s="67">
        <v>8</v>
      </c>
      <c r="J9" s="67">
        <f t="shared" si="0"/>
        <v>14</v>
      </c>
      <c r="K9" s="67"/>
    </row>
    <row r="10" spans="1:11" ht="24.75" customHeight="1">
      <c r="A10" s="1" t="s">
        <v>9</v>
      </c>
      <c r="B10" s="68" t="s">
        <v>157</v>
      </c>
      <c r="C10" s="67" t="s">
        <v>151</v>
      </c>
      <c r="D10" s="67">
        <v>1</v>
      </c>
      <c r="E10" s="67">
        <v>1</v>
      </c>
      <c r="F10" s="67">
        <v>3</v>
      </c>
      <c r="G10" s="67" t="s">
        <v>43</v>
      </c>
      <c r="H10" s="67" t="s">
        <v>43</v>
      </c>
      <c r="I10" s="67">
        <v>6</v>
      </c>
      <c r="J10" s="67">
        <f t="shared" si="0"/>
        <v>11</v>
      </c>
      <c r="K10" s="67"/>
    </row>
    <row r="11" spans="1:11" ht="24.75" customHeight="1">
      <c r="A11" s="1" t="s">
        <v>11</v>
      </c>
      <c r="B11" s="68" t="s">
        <v>158</v>
      </c>
      <c r="C11" s="67" t="s">
        <v>159</v>
      </c>
      <c r="D11" s="67" t="s">
        <v>43</v>
      </c>
      <c r="E11" s="67" t="s">
        <v>43</v>
      </c>
      <c r="F11" s="67" t="s">
        <v>43</v>
      </c>
      <c r="G11" s="67">
        <v>0</v>
      </c>
      <c r="H11" s="67">
        <v>8</v>
      </c>
      <c r="I11" s="67" t="s">
        <v>43</v>
      </c>
      <c r="J11" s="67">
        <f t="shared" si="0"/>
        <v>8</v>
      </c>
      <c r="K11" s="67"/>
    </row>
    <row r="12" spans="1:11" ht="24.75" customHeight="1">
      <c r="A12" s="1" t="s">
        <v>12</v>
      </c>
      <c r="B12" s="68" t="s">
        <v>152</v>
      </c>
      <c r="C12" s="67" t="s">
        <v>151</v>
      </c>
      <c r="D12" s="67" t="s">
        <v>43</v>
      </c>
      <c r="E12" s="67" t="s">
        <v>43</v>
      </c>
      <c r="F12" s="67">
        <v>6</v>
      </c>
      <c r="G12" s="67" t="s">
        <v>43</v>
      </c>
      <c r="H12" s="67" t="s">
        <v>43</v>
      </c>
      <c r="I12" s="67">
        <v>1</v>
      </c>
      <c r="J12" s="67">
        <f t="shared" si="0"/>
        <v>7</v>
      </c>
      <c r="K12" s="67"/>
    </row>
    <row r="13" spans="1:11" ht="24.75" customHeight="1">
      <c r="A13" s="1" t="s">
        <v>13</v>
      </c>
      <c r="B13" s="68" t="s">
        <v>153</v>
      </c>
      <c r="C13" s="67" t="s">
        <v>151</v>
      </c>
      <c r="D13" s="67" t="s">
        <v>43</v>
      </c>
      <c r="E13" s="67" t="s">
        <v>43</v>
      </c>
      <c r="F13" s="67">
        <v>3</v>
      </c>
      <c r="G13" s="67" t="s">
        <v>43</v>
      </c>
      <c r="H13" s="67" t="s">
        <v>43</v>
      </c>
      <c r="I13" s="67">
        <v>4</v>
      </c>
      <c r="J13" s="67">
        <f t="shared" si="0"/>
        <v>7</v>
      </c>
      <c r="K13" s="67"/>
    </row>
    <row r="14" spans="1:11" ht="24.75" customHeight="1">
      <c r="A14" s="1" t="s">
        <v>14</v>
      </c>
      <c r="B14" s="68" t="s">
        <v>161</v>
      </c>
      <c r="C14" s="67" t="s">
        <v>159</v>
      </c>
      <c r="D14" s="67" t="s">
        <v>43</v>
      </c>
      <c r="E14" s="67" t="s">
        <v>43</v>
      </c>
      <c r="F14" s="67">
        <v>6</v>
      </c>
      <c r="G14" s="67" t="s">
        <v>43</v>
      </c>
      <c r="H14" s="67" t="s">
        <v>43</v>
      </c>
      <c r="I14" s="67" t="s">
        <v>43</v>
      </c>
      <c r="J14" s="67">
        <f t="shared" si="0"/>
        <v>6</v>
      </c>
      <c r="K14" s="67"/>
    </row>
    <row r="15" spans="1:11" ht="24.75" customHeight="1">
      <c r="A15" s="1" t="s">
        <v>16</v>
      </c>
      <c r="B15" s="68" t="s">
        <v>156</v>
      </c>
      <c r="C15" s="67" t="s">
        <v>146</v>
      </c>
      <c r="D15" s="67" t="s">
        <v>43</v>
      </c>
      <c r="E15" s="67" t="s">
        <v>43</v>
      </c>
      <c r="F15" s="67">
        <v>0</v>
      </c>
      <c r="G15" s="67" t="s">
        <v>43</v>
      </c>
      <c r="H15" s="67" t="s">
        <v>43</v>
      </c>
      <c r="I15" s="67">
        <v>3</v>
      </c>
      <c r="J15" s="67">
        <f t="shared" si="0"/>
        <v>3</v>
      </c>
      <c r="K15" s="67"/>
    </row>
    <row r="16" spans="1:11" ht="24.75" customHeight="1">
      <c r="A16" s="1" t="s">
        <v>17</v>
      </c>
      <c r="B16" s="68" t="s">
        <v>145</v>
      </c>
      <c r="C16" s="67" t="s">
        <v>146</v>
      </c>
      <c r="D16" s="67" t="s">
        <v>43</v>
      </c>
      <c r="E16" s="67" t="s">
        <v>43</v>
      </c>
      <c r="F16" s="67">
        <v>3</v>
      </c>
      <c r="G16" s="67" t="s">
        <v>43</v>
      </c>
      <c r="H16" s="67" t="s">
        <v>43</v>
      </c>
      <c r="I16" s="67" t="s">
        <v>43</v>
      </c>
      <c r="J16" s="67">
        <f t="shared" si="0"/>
        <v>3</v>
      </c>
      <c r="K16" s="67"/>
    </row>
    <row r="17" spans="1:11" ht="24.75" customHeight="1">
      <c r="A17" s="1" t="s">
        <v>18</v>
      </c>
      <c r="B17" s="68" t="s">
        <v>147</v>
      </c>
      <c r="C17" s="67" t="s">
        <v>146</v>
      </c>
      <c r="D17" s="67" t="s">
        <v>43</v>
      </c>
      <c r="E17" s="67">
        <v>0</v>
      </c>
      <c r="F17" s="67">
        <v>0</v>
      </c>
      <c r="G17" s="67" t="s">
        <v>43</v>
      </c>
      <c r="H17" s="67">
        <v>0</v>
      </c>
      <c r="I17" s="67">
        <v>2</v>
      </c>
      <c r="J17" s="67">
        <f t="shared" si="0"/>
        <v>2</v>
      </c>
      <c r="K17" s="67"/>
    </row>
    <row r="18" spans="1:11" ht="24.75" customHeight="1">
      <c r="A18" s="1" t="s">
        <v>19</v>
      </c>
      <c r="B18" s="68" t="s">
        <v>150</v>
      </c>
      <c r="C18" s="67" t="s">
        <v>151</v>
      </c>
      <c r="D18" s="67" t="s">
        <v>43</v>
      </c>
      <c r="E18" s="67" t="s">
        <v>43</v>
      </c>
      <c r="F18" s="67" t="s">
        <v>43</v>
      </c>
      <c r="G18" s="67" t="s">
        <v>43</v>
      </c>
      <c r="H18" s="67">
        <v>1</v>
      </c>
      <c r="I18" s="67">
        <v>1</v>
      </c>
      <c r="J18" s="67">
        <f t="shared" si="0"/>
        <v>2</v>
      </c>
      <c r="K18" s="67"/>
    </row>
    <row r="19" spans="1:11" ht="24.75" customHeight="1">
      <c r="A19" s="1" t="s">
        <v>20</v>
      </c>
      <c r="B19" s="68" t="s">
        <v>149</v>
      </c>
      <c r="C19" s="67" t="s">
        <v>151</v>
      </c>
      <c r="D19" s="67" t="s">
        <v>43</v>
      </c>
      <c r="E19" s="67" t="s">
        <v>43</v>
      </c>
      <c r="F19" s="67">
        <v>1</v>
      </c>
      <c r="G19" s="67" t="s">
        <v>43</v>
      </c>
      <c r="H19" s="67" t="s">
        <v>43</v>
      </c>
      <c r="I19" s="67" t="s">
        <v>43</v>
      </c>
      <c r="J19" s="67">
        <f t="shared" si="0"/>
        <v>1</v>
      </c>
      <c r="K19" s="67"/>
    </row>
    <row r="20" spans="1:11" ht="24.75" customHeight="1">
      <c r="A20" s="1" t="s">
        <v>21</v>
      </c>
      <c r="B20" s="68" t="s">
        <v>155</v>
      </c>
      <c r="C20" s="67" t="s">
        <v>146</v>
      </c>
      <c r="D20" s="67" t="s">
        <v>43</v>
      </c>
      <c r="E20" s="67" t="s">
        <v>43</v>
      </c>
      <c r="F20" s="67">
        <v>0</v>
      </c>
      <c r="G20" s="67" t="s">
        <v>43</v>
      </c>
      <c r="H20" s="67" t="s">
        <v>43</v>
      </c>
      <c r="I20" s="67" t="s">
        <v>43</v>
      </c>
      <c r="J20" s="67">
        <f t="shared" si="0"/>
        <v>0</v>
      </c>
      <c r="K20" s="67"/>
    </row>
    <row r="21" spans="1:11" ht="24.75" customHeight="1">
      <c r="A21" s="1"/>
      <c r="B21" s="68" t="s">
        <v>160</v>
      </c>
      <c r="C21" s="67" t="s">
        <v>159</v>
      </c>
      <c r="D21" s="67" t="s">
        <v>43</v>
      </c>
      <c r="E21" s="67" t="s">
        <v>43</v>
      </c>
      <c r="F21" s="67">
        <v>0</v>
      </c>
      <c r="G21" s="67" t="s">
        <v>43</v>
      </c>
      <c r="H21" s="67" t="s">
        <v>43</v>
      </c>
      <c r="I21" s="67" t="s">
        <v>43</v>
      </c>
      <c r="J21" s="67">
        <f t="shared" si="0"/>
        <v>0</v>
      </c>
      <c r="K21" s="67"/>
    </row>
  </sheetData>
  <sheetProtection/>
  <conditionalFormatting sqref="D3:I21">
    <cfRule type="containsText" priority="2" dxfId="9" operator="containsText" stopIfTrue="1" text=" ">
      <formula>NOT(ISERROR(SEARCH(" ",D3)))</formula>
    </cfRule>
  </conditionalFormatting>
  <printOptions/>
  <pageMargins left="0.5118110236220472" right="0.4330708661417323" top="0.7480314960629921" bottom="0.7480314960629921" header="0.31496062992125984" footer="0.31496062992125984"/>
  <pageSetup horizontalDpi="600" verticalDpi="600" orientation="portrait" paperSize="9" r:id="rId1"/>
  <headerFooter>
    <oddHeader>&amp;CÍjászat verseny
2010.09.14.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4" sqref="I24"/>
    </sheetView>
  </sheetViews>
  <sheetFormatPr defaultColWidth="9.140625" defaultRowHeight="15"/>
  <cols>
    <col min="1" max="1" width="5.140625" style="3" customWidth="1"/>
    <col min="2" max="2" width="26.28125" style="0" customWidth="1"/>
    <col min="3" max="3" width="3.00390625" style="74" customWidth="1"/>
    <col min="4" max="4" width="14.8515625" style="3" customWidth="1"/>
    <col min="5" max="5" width="12.7109375" style="72" customWidth="1"/>
    <col min="6" max="6" width="12.57421875" style="72" customWidth="1"/>
    <col min="7" max="7" width="11.7109375" style="72" customWidth="1"/>
    <col min="8" max="8" width="6.00390625" style="3" customWidth="1"/>
    <col min="9" max="9" width="23.7109375" style="0" customWidth="1"/>
    <col min="10" max="15" width="9.140625" style="72" customWidth="1"/>
    <col min="16" max="16" width="9.140625" style="81" customWidth="1"/>
  </cols>
  <sheetData>
    <row r="1" spans="1:16" s="70" customFormat="1" ht="15">
      <c r="A1" s="70" t="s">
        <v>8</v>
      </c>
      <c r="B1" s="70" t="s">
        <v>0</v>
      </c>
      <c r="C1" s="73"/>
      <c r="D1" s="70" t="s">
        <v>139</v>
      </c>
      <c r="E1" s="71" t="s">
        <v>163</v>
      </c>
      <c r="F1" s="71" t="s">
        <v>164</v>
      </c>
      <c r="G1" s="71" t="s">
        <v>165</v>
      </c>
      <c r="H1" s="70" t="s">
        <v>8</v>
      </c>
      <c r="I1" s="70" t="s">
        <v>139</v>
      </c>
      <c r="J1" s="71" t="s">
        <v>1</v>
      </c>
      <c r="K1" s="71" t="s">
        <v>2</v>
      </c>
      <c r="L1" s="71" t="s">
        <v>3</v>
      </c>
      <c r="M1" s="71" t="s">
        <v>4</v>
      </c>
      <c r="N1" s="71" t="s">
        <v>5</v>
      </c>
      <c r="O1" s="71" t="s">
        <v>180</v>
      </c>
      <c r="P1" s="80"/>
    </row>
    <row r="2" spans="1:16" ht="15">
      <c r="A2" s="3" t="s">
        <v>1</v>
      </c>
      <c r="B2" t="s">
        <v>148</v>
      </c>
      <c r="C2" s="74">
        <v>0</v>
      </c>
      <c r="D2" s="3" t="s">
        <v>225</v>
      </c>
      <c r="E2" s="72">
        <v>0.01685185185185185</v>
      </c>
      <c r="F2" s="72">
        <f>'Varakozasi ido I.'!G22</f>
        <v>0.001990740740740741</v>
      </c>
      <c r="G2" s="72">
        <f aca="true" t="shared" si="0" ref="G2:G33">IF(E2="","",E2-F2)</f>
        <v>0.01486111111111111</v>
      </c>
      <c r="H2" s="3" t="s">
        <v>1</v>
      </c>
      <c r="I2" t="s">
        <v>260</v>
      </c>
      <c r="J2" s="72">
        <v>0.025914351851851855</v>
      </c>
      <c r="K2" s="72">
        <v>0.026041666666666668</v>
      </c>
      <c r="L2" s="72">
        <v>0.02442129629629629</v>
      </c>
      <c r="M2" s="72">
        <v>0.02443287037037037</v>
      </c>
      <c r="N2" s="72">
        <v>0.022604166666666665</v>
      </c>
      <c r="O2" s="72">
        <f aca="true" t="shared" si="1" ref="O2:O24">IF(COUNTA(J2:N2)=5,SUM(J2:N2),"")</f>
        <v>0.12341435185185184</v>
      </c>
      <c r="P2" s="81">
        <v>0</v>
      </c>
    </row>
    <row r="3" spans="1:16" ht="15">
      <c r="A3" s="3" t="s">
        <v>2</v>
      </c>
      <c r="B3" t="s">
        <v>195</v>
      </c>
      <c r="C3" s="74">
        <v>0</v>
      </c>
      <c r="D3" s="3" t="s">
        <v>198</v>
      </c>
      <c r="E3" s="72">
        <v>0.0166087962962963</v>
      </c>
      <c r="F3" s="72">
        <f>'Varakozasi ido I.'!G7</f>
        <v>0.001388888888888889</v>
      </c>
      <c r="G3" s="72">
        <f t="shared" si="0"/>
        <v>0.01521990740740741</v>
      </c>
      <c r="H3" s="3" t="s">
        <v>2</v>
      </c>
      <c r="I3" t="s">
        <v>229</v>
      </c>
      <c r="J3" s="72">
        <v>0.016967592592592593</v>
      </c>
      <c r="K3" s="72">
        <v>0.016516203703703703</v>
      </c>
      <c r="L3" s="72">
        <v>0.029699074074074072</v>
      </c>
      <c r="M3" s="72">
        <v>0.03045138888888889</v>
      </c>
      <c r="N3" s="72">
        <v>0.030347222222222223</v>
      </c>
      <c r="O3" s="72">
        <f t="shared" si="1"/>
        <v>0.12398148148148148</v>
      </c>
      <c r="P3" s="81">
        <v>0</v>
      </c>
    </row>
    <row r="4" spans="1:16" ht="15">
      <c r="A4" s="3" t="s">
        <v>3</v>
      </c>
      <c r="B4" t="s">
        <v>230</v>
      </c>
      <c r="C4" s="74">
        <v>0</v>
      </c>
      <c r="D4" s="3" t="s">
        <v>232</v>
      </c>
      <c r="E4" s="72">
        <v>0.016516203703703703</v>
      </c>
      <c r="G4" s="72">
        <f t="shared" si="0"/>
        <v>0.016516203703703703</v>
      </c>
      <c r="H4" s="3" t="s">
        <v>3</v>
      </c>
      <c r="I4" t="s">
        <v>249</v>
      </c>
      <c r="J4" s="72">
        <v>0.027766203703703706</v>
      </c>
      <c r="K4" s="72">
        <v>0.02763888888888889</v>
      </c>
      <c r="L4" s="72">
        <v>0.029699074074074072</v>
      </c>
      <c r="M4" s="72">
        <v>0.02597222222222222</v>
      </c>
      <c r="N4" s="72">
        <v>0.027430555555555555</v>
      </c>
      <c r="O4" s="72">
        <f t="shared" si="1"/>
        <v>0.13850694444444445</v>
      </c>
      <c r="P4" s="81">
        <v>0</v>
      </c>
    </row>
    <row r="5" spans="1:16" ht="15">
      <c r="A5" s="3" t="s">
        <v>4</v>
      </c>
      <c r="B5" t="s">
        <v>228</v>
      </c>
      <c r="C5" s="74">
        <v>0</v>
      </c>
      <c r="D5" s="3" t="s">
        <v>231</v>
      </c>
      <c r="E5" s="72">
        <v>0.016967592592592593</v>
      </c>
      <c r="G5" s="72">
        <f t="shared" si="0"/>
        <v>0.016967592592592593</v>
      </c>
      <c r="H5" s="3" t="s">
        <v>4</v>
      </c>
      <c r="I5" t="s">
        <v>141</v>
      </c>
      <c r="J5" s="72">
        <v>0.030925925925925926</v>
      </c>
      <c r="K5" s="72">
        <v>0.03686342592592593</v>
      </c>
      <c r="L5" s="72">
        <v>0.026875</v>
      </c>
      <c r="M5" s="72">
        <v>0.04251157407407408</v>
      </c>
      <c r="N5" s="72">
        <v>0.03412037037037037</v>
      </c>
      <c r="O5" s="72">
        <f t="shared" si="1"/>
        <v>0.17129629629629628</v>
      </c>
      <c r="P5" s="81">
        <v>0</v>
      </c>
    </row>
    <row r="6" spans="1:16" ht="15">
      <c r="A6" s="3" t="s">
        <v>5</v>
      </c>
      <c r="B6" t="s">
        <v>210</v>
      </c>
      <c r="C6" s="74">
        <v>0</v>
      </c>
      <c r="D6" s="3" t="s">
        <v>211</v>
      </c>
      <c r="E6" s="72">
        <v>0.020497685185185185</v>
      </c>
      <c r="G6" s="72">
        <f t="shared" si="0"/>
        <v>0.020497685185185185</v>
      </c>
      <c r="H6" s="3" t="s">
        <v>5</v>
      </c>
      <c r="I6" t="s">
        <v>218</v>
      </c>
      <c r="J6" s="72">
        <v>0.024849537037037035</v>
      </c>
      <c r="K6" s="72">
        <v>0.027222222222222228</v>
      </c>
      <c r="L6" s="72">
        <v>0.0228125</v>
      </c>
      <c r="M6" s="72">
        <v>0.0166087962962963</v>
      </c>
      <c r="N6" s="79">
        <v>0.026516203703703698</v>
      </c>
      <c r="O6" s="72">
        <f t="shared" si="1"/>
        <v>0.11800925925925926</v>
      </c>
      <c r="P6" s="81">
        <v>1</v>
      </c>
    </row>
    <row r="7" spans="1:16" ht="15">
      <c r="A7" s="3" t="s">
        <v>6</v>
      </c>
      <c r="B7" t="s">
        <v>193</v>
      </c>
      <c r="C7" s="74">
        <v>0</v>
      </c>
      <c r="D7" s="3" t="s">
        <v>194</v>
      </c>
      <c r="E7" s="72">
        <v>0.0228125</v>
      </c>
      <c r="F7" s="72">
        <f>'Varakozasi ido I.'!G23</f>
        <v>0.0017708333333333335</v>
      </c>
      <c r="G7" s="72">
        <f t="shared" si="0"/>
        <v>0.021041666666666667</v>
      </c>
      <c r="H7" s="3" t="s">
        <v>6</v>
      </c>
      <c r="I7" t="s">
        <v>146</v>
      </c>
      <c r="J7" s="72">
        <v>0.02298611111111111</v>
      </c>
      <c r="K7" s="72">
        <v>0.02298611111111111</v>
      </c>
      <c r="L7" s="72">
        <v>0.022858796296296294</v>
      </c>
      <c r="M7" s="72">
        <v>0.01685185185185185</v>
      </c>
      <c r="N7" s="72">
        <v>0.013796296296296298</v>
      </c>
      <c r="O7" s="72">
        <f t="shared" si="1"/>
        <v>0.09947916666666666</v>
      </c>
      <c r="P7" s="81">
        <v>7</v>
      </c>
    </row>
    <row r="8" spans="1:16" ht="15">
      <c r="A8" s="3" t="s">
        <v>7</v>
      </c>
      <c r="B8" t="s">
        <v>208</v>
      </c>
      <c r="C8" s="74">
        <v>0</v>
      </c>
      <c r="D8" s="3" t="s">
        <v>209</v>
      </c>
      <c r="E8" s="72">
        <v>0.021388888888888888</v>
      </c>
      <c r="G8" s="72">
        <f t="shared" si="0"/>
        <v>0.021388888888888888</v>
      </c>
      <c r="H8" s="3" t="s">
        <v>7</v>
      </c>
      <c r="I8" t="s">
        <v>219</v>
      </c>
      <c r="J8" s="72">
        <v>0.021388888888888888</v>
      </c>
      <c r="K8" s="72">
        <v>0.020497685185185185</v>
      </c>
      <c r="L8" s="72">
        <v>0.022037037037037036</v>
      </c>
      <c r="M8" s="72">
        <v>0.024039351851851853</v>
      </c>
      <c r="N8" s="72">
        <v>0.02175925925925926</v>
      </c>
      <c r="O8" s="72">
        <f t="shared" si="1"/>
        <v>0.10972222222222222</v>
      </c>
      <c r="P8" s="81">
        <v>10</v>
      </c>
    </row>
    <row r="9" spans="1:15" ht="15">
      <c r="A9" s="3" t="s">
        <v>9</v>
      </c>
      <c r="B9" t="s">
        <v>256</v>
      </c>
      <c r="C9" s="74">
        <v>0</v>
      </c>
      <c r="D9" s="3" t="s">
        <v>257</v>
      </c>
      <c r="E9" s="72">
        <v>0.02443287037037037</v>
      </c>
      <c r="F9" s="72">
        <f>'Varakozasi ido I.'!G15</f>
        <v>0.0028356481481481483</v>
      </c>
      <c r="G9" s="72">
        <f t="shared" si="0"/>
        <v>0.02159722222222222</v>
      </c>
      <c r="O9" s="72">
        <f t="shared" si="1"/>
      </c>
    </row>
    <row r="10" spans="1:15" ht="15">
      <c r="A10" s="3" t="s">
        <v>11</v>
      </c>
      <c r="B10" t="s">
        <v>161</v>
      </c>
      <c r="C10" s="74">
        <v>0</v>
      </c>
      <c r="D10" s="3" t="s">
        <v>220</v>
      </c>
      <c r="E10" s="72">
        <v>0.02298611111111111</v>
      </c>
      <c r="F10" s="72">
        <f>'Varakozasi ido I.'!G14</f>
        <v>0.001388888888888889</v>
      </c>
      <c r="G10" s="72">
        <f t="shared" si="0"/>
        <v>0.021597222222222223</v>
      </c>
      <c r="H10" s="18" t="s">
        <v>43</v>
      </c>
      <c r="I10" s="22" t="s">
        <v>52</v>
      </c>
      <c r="J10" s="20"/>
      <c r="K10" s="81"/>
      <c r="L10" s="81"/>
      <c r="M10" s="81"/>
      <c r="N10" s="81"/>
      <c r="O10" s="81">
        <f t="shared" si="1"/>
      </c>
    </row>
    <row r="11" spans="1:15" ht="15">
      <c r="A11" s="3" t="s">
        <v>12</v>
      </c>
      <c r="B11" t="s">
        <v>241</v>
      </c>
      <c r="C11" s="74">
        <v>0</v>
      </c>
      <c r="D11" s="3" t="s">
        <v>242</v>
      </c>
      <c r="E11" s="72">
        <v>0.02763888888888889</v>
      </c>
      <c r="F11" s="72">
        <f>'Varakozasi ido I.'!G5</f>
        <v>0.005590277777777778</v>
      </c>
      <c r="G11" s="72">
        <f t="shared" si="0"/>
        <v>0.022048611111111113</v>
      </c>
      <c r="H11" s="14" t="s">
        <v>1</v>
      </c>
      <c r="I11" s="11" t="str">
        <f aca="true" t="shared" si="2" ref="I11:I16">B2</f>
        <v>Szellő Roland</v>
      </c>
      <c r="J11" s="21" t="s">
        <v>31</v>
      </c>
      <c r="K11" s="81"/>
      <c r="L11" s="81"/>
      <c r="M11" s="81"/>
      <c r="N11" s="81"/>
      <c r="O11" s="81">
        <f t="shared" si="1"/>
      </c>
    </row>
    <row r="12" spans="1:15" ht="15">
      <c r="A12" s="3" t="s">
        <v>13</v>
      </c>
      <c r="B12" t="s">
        <v>223</v>
      </c>
      <c r="C12" s="74">
        <v>0</v>
      </c>
      <c r="D12" s="3" t="s">
        <v>224</v>
      </c>
      <c r="E12" s="72">
        <v>0.022858796296296294</v>
      </c>
      <c r="F12" s="72">
        <f>'Varakozasi ido I.'!G6</f>
        <v>0.0007754629629629629</v>
      </c>
      <c r="G12" s="72">
        <f t="shared" si="0"/>
        <v>0.02208333333333333</v>
      </c>
      <c r="H12" s="14" t="s">
        <v>2</v>
      </c>
      <c r="I12" s="11" t="str">
        <f t="shared" si="2"/>
        <v>Bordás Attila</v>
      </c>
      <c r="J12" s="21" t="s">
        <v>32</v>
      </c>
      <c r="K12" s="81"/>
      <c r="L12" s="81"/>
      <c r="M12" s="81"/>
      <c r="N12" s="81"/>
      <c r="O12" s="81">
        <f t="shared" si="1"/>
      </c>
    </row>
    <row r="13" spans="1:15" ht="15">
      <c r="A13" s="3" t="s">
        <v>14</v>
      </c>
      <c r="B13" t="s">
        <v>221</v>
      </c>
      <c r="C13" s="74">
        <v>0</v>
      </c>
      <c r="D13" s="3" t="s">
        <v>222</v>
      </c>
      <c r="E13" s="72">
        <v>0.02298611111111111</v>
      </c>
      <c r="F13" s="72">
        <f>'Varakozasi ido I.'!G20</f>
        <v>0.0006944444444444445</v>
      </c>
      <c r="G13" s="72">
        <f t="shared" si="0"/>
        <v>0.022291666666666664</v>
      </c>
      <c r="H13" s="14" t="s">
        <v>3</v>
      </c>
      <c r="I13" s="11" t="str">
        <f t="shared" si="2"/>
        <v>Bokor Dóra</v>
      </c>
      <c r="J13" s="21" t="s">
        <v>33</v>
      </c>
      <c r="K13" s="81"/>
      <c r="L13" s="81"/>
      <c r="M13" s="81"/>
      <c r="N13" s="81"/>
      <c r="O13" s="81">
        <f t="shared" si="1"/>
      </c>
    </row>
    <row r="14" spans="1:15" ht="15">
      <c r="A14" s="3" t="s">
        <v>16</v>
      </c>
      <c r="B14" t="s">
        <v>247</v>
      </c>
      <c r="C14" s="74">
        <v>0</v>
      </c>
      <c r="D14" s="3" t="s">
        <v>248</v>
      </c>
      <c r="E14" s="72">
        <v>0.027430555555555555</v>
      </c>
      <c r="F14" s="72">
        <f>'Varakozasi ido I.'!G21</f>
        <v>0.004953703703703704</v>
      </c>
      <c r="G14" s="72">
        <f t="shared" si="0"/>
        <v>0.022476851851851852</v>
      </c>
      <c r="H14" s="14" t="s">
        <v>4</v>
      </c>
      <c r="I14" s="11" t="str">
        <f t="shared" si="2"/>
        <v>Berki Zsanett</v>
      </c>
      <c r="J14" s="21" t="s">
        <v>34</v>
      </c>
      <c r="K14" s="81"/>
      <c r="L14" s="81"/>
      <c r="M14" s="81"/>
      <c r="N14" s="81"/>
      <c r="O14" s="81">
        <f t="shared" si="1"/>
      </c>
    </row>
    <row r="15" spans="1:15" ht="15">
      <c r="A15" s="3" t="s">
        <v>17</v>
      </c>
      <c r="B15" t="s">
        <v>258</v>
      </c>
      <c r="C15" s="74">
        <v>0</v>
      </c>
      <c r="D15" s="3" t="s">
        <v>259</v>
      </c>
      <c r="E15" s="72">
        <v>0.022604166666666665</v>
      </c>
      <c r="G15" s="72">
        <f t="shared" si="0"/>
        <v>0.022604166666666665</v>
      </c>
      <c r="H15" s="14" t="s">
        <v>5</v>
      </c>
      <c r="I15" s="11" t="str">
        <f t="shared" si="2"/>
        <v>Soltész Péter</v>
      </c>
      <c r="J15" s="21" t="s">
        <v>35</v>
      </c>
      <c r="K15" s="81"/>
      <c r="L15" s="81"/>
      <c r="M15" s="81"/>
      <c r="N15" s="81"/>
      <c r="O15" s="81">
        <f t="shared" si="1"/>
      </c>
    </row>
    <row r="16" spans="1:15" ht="15">
      <c r="A16" s="3" t="s">
        <v>18</v>
      </c>
      <c r="B16" t="s">
        <v>250</v>
      </c>
      <c r="C16" s="74">
        <v>0</v>
      </c>
      <c r="D16" s="3" t="s">
        <v>251</v>
      </c>
      <c r="E16" s="72">
        <v>0.025914351851851855</v>
      </c>
      <c r="F16" s="72">
        <f>'Varakozasi ido I.'!G2</f>
        <v>0.0027662037037037034</v>
      </c>
      <c r="G16" s="72">
        <f t="shared" si="0"/>
        <v>0.02314814814814815</v>
      </c>
      <c r="H16" s="14" t="s">
        <v>6</v>
      </c>
      <c r="I16" s="11" t="str">
        <f t="shared" si="2"/>
        <v>Tóth Andrea</v>
      </c>
      <c r="J16" s="21" t="s">
        <v>36</v>
      </c>
      <c r="K16" s="81"/>
      <c r="L16" s="81"/>
      <c r="M16" s="81"/>
      <c r="N16" s="81"/>
      <c r="O16" s="81">
        <f t="shared" si="1"/>
      </c>
    </row>
    <row r="17" spans="1:15" ht="15">
      <c r="A17" s="3" t="s">
        <v>19</v>
      </c>
      <c r="B17" t="s">
        <v>254</v>
      </c>
      <c r="C17" s="74">
        <v>0</v>
      </c>
      <c r="D17" s="3" t="s">
        <v>255</v>
      </c>
      <c r="E17" s="72">
        <v>0.02442129629629629</v>
      </c>
      <c r="F17" s="72">
        <f>'Varakozasi ido I.'!G24</f>
        <v>0.0010416666666666667</v>
      </c>
      <c r="G17" s="72">
        <f t="shared" si="0"/>
        <v>0.023379629629629625</v>
      </c>
      <c r="H17" s="81"/>
      <c r="I17" s="82"/>
      <c r="J17" s="81"/>
      <c r="K17" s="81"/>
      <c r="L17" s="81"/>
      <c r="M17" s="81"/>
      <c r="N17" s="81"/>
      <c r="O17" s="81">
        <f t="shared" si="1"/>
      </c>
    </row>
    <row r="18" spans="1:15" ht="15">
      <c r="A18" s="3" t="s">
        <v>20</v>
      </c>
      <c r="B18" t="s">
        <v>237</v>
      </c>
      <c r="C18" s="74">
        <v>0</v>
      </c>
      <c r="D18" s="3" t="s">
        <v>238</v>
      </c>
      <c r="E18" s="72">
        <v>0.030347222222222223</v>
      </c>
      <c r="F18" s="72">
        <f>'Varakozasi ido I.'!G16</f>
        <v>0.006944444444444444</v>
      </c>
      <c r="G18" s="72">
        <f t="shared" si="0"/>
        <v>0.02340277777777778</v>
      </c>
      <c r="H18" s="81"/>
      <c r="I18" s="82"/>
      <c r="J18" s="81"/>
      <c r="K18" s="81"/>
      <c r="L18" s="81"/>
      <c r="M18" s="81"/>
      <c r="N18" s="81"/>
      <c r="O18" s="81">
        <f t="shared" si="1"/>
      </c>
    </row>
    <row r="19" spans="1:15" ht="15">
      <c r="A19" s="3" t="s">
        <v>21</v>
      </c>
      <c r="B19" t="s">
        <v>214</v>
      </c>
      <c r="C19" s="74">
        <v>0</v>
      </c>
      <c r="D19" s="3" t="s">
        <v>215</v>
      </c>
      <c r="E19" s="72">
        <v>0.024039351851851853</v>
      </c>
      <c r="F19" s="72">
        <f>'Varakozasi ido I.'!G26</f>
        <v>0.0003125</v>
      </c>
      <c r="G19" s="72">
        <f t="shared" si="0"/>
        <v>0.023726851851851853</v>
      </c>
      <c r="H19" s="81"/>
      <c r="I19" s="82"/>
      <c r="J19" s="81"/>
      <c r="K19" s="81"/>
      <c r="L19" s="81"/>
      <c r="M19" s="81"/>
      <c r="N19" s="81"/>
      <c r="O19" s="81">
        <f t="shared" si="1"/>
      </c>
    </row>
    <row r="20" spans="1:15" ht="15">
      <c r="A20" s="3" t="s">
        <v>22</v>
      </c>
      <c r="B20" t="s">
        <v>189</v>
      </c>
      <c r="C20" s="74">
        <v>0</v>
      </c>
      <c r="D20" s="3" t="s">
        <v>190</v>
      </c>
      <c r="E20" s="72">
        <v>0.024849537037037035</v>
      </c>
      <c r="F20" s="72">
        <f>'Varakozasi ido I.'!G18</f>
        <v>0.0009722222222222222</v>
      </c>
      <c r="G20" s="72">
        <f t="shared" si="0"/>
        <v>0.023877314814814813</v>
      </c>
      <c r="H20" s="81"/>
      <c r="I20" s="82"/>
      <c r="J20" s="81"/>
      <c r="K20" s="81"/>
      <c r="L20" s="81"/>
      <c r="M20" s="81"/>
      <c r="N20" s="81"/>
      <c r="O20" s="81">
        <f t="shared" si="1"/>
      </c>
    </row>
    <row r="21" spans="1:15" ht="15">
      <c r="A21" s="3" t="s">
        <v>23</v>
      </c>
      <c r="B21" t="s">
        <v>252</v>
      </c>
      <c r="C21" s="74">
        <v>0</v>
      </c>
      <c r="D21" s="3" t="s">
        <v>253</v>
      </c>
      <c r="E21" s="72">
        <v>0.026041666666666668</v>
      </c>
      <c r="F21" s="72">
        <f>'Varakozasi ido I.'!G9</f>
        <v>0.0020486111111111113</v>
      </c>
      <c r="G21" s="72">
        <f t="shared" si="0"/>
        <v>0.023993055555555556</v>
      </c>
      <c r="H21" s="81"/>
      <c r="I21" s="82"/>
      <c r="J21" s="81"/>
      <c r="K21" s="81"/>
      <c r="L21" s="81"/>
      <c r="M21" s="81"/>
      <c r="N21" s="81"/>
      <c r="O21" s="81">
        <f t="shared" si="1"/>
      </c>
    </row>
    <row r="22" spans="1:15" ht="15">
      <c r="A22" s="3" t="s">
        <v>24</v>
      </c>
      <c r="B22" t="s">
        <v>245</v>
      </c>
      <c r="C22" s="74">
        <v>0</v>
      </c>
      <c r="D22" s="3" t="s">
        <v>246</v>
      </c>
      <c r="E22" s="72">
        <v>0.02597222222222222</v>
      </c>
      <c r="F22" s="72">
        <f>'Varakozasi ido I.'!G27</f>
        <v>0.0010416666666666667</v>
      </c>
      <c r="G22" s="72">
        <f t="shared" si="0"/>
        <v>0.024930555555555553</v>
      </c>
      <c r="H22" s="81"/>
      <c r="I22" s="82"/>
      <c r="J22" s="81"/>
      <c r="K22" s="81"/>
      <c r="L22" s="81"/>
      <c r="M22" s="81"/>
      <c r="N22" s="81"/>
      <c r="O22" s="81">
        <f t="shared" si="1"/>
      </c>
    </row>
    <row r="23" spans="1:15" ht="15">
      <c r="A23" s="3" t="s">
        <v>25</v>
      </c>
      <c r="B23" t="s">
        <v>191</v>
      </c>
      <c r="C23" s="74">
        <v>0</v>
      </c>
      <c r="D23" s="3" t="s">
        <v>192</v>
      </c>
      <c r="E23" s="72">
        <v>0.027222222222222228</v>
      </c>
      <c r="F23" s="72">
        <f>'Varakozasi ido I.'!G4</f>
        <v>0.0015393518518518519</v>
      </c>
      <c r="G23" s="72">
        <f t="shared" si="0"/>
        <v>0.025682870370370377</v>
      </c>
      <c r="H23" s="81"/>
      <c r="I23" s="82"/>
      <c r="J23" s="81"/>
      <c r="K23" s="81"/>
      <c r="L23" s="81"/>
      <c r="M23" s="81"/>
      <c r="N23" s="81"/>
      <c r="O23" s="81">
        <f t="shared" si="1"/>
      </c>
    </row>
    <row r="24" spans="1:15" ht="15">
      <c r="A24" s="3" t="s">
        <v>26</v>
      </c>
      <c r="B24" t="s">
        <v>239</v>
      </c>
      <c r="C24" s="74">
        <v>0</v>
      </c>
      <c r="D24" s="3" t="s">
        <v>240</v>
      </c>
      <c r="E24" s="72">
        <v>0.027766203703703706</v>
      </c>
      <c r="F24" s="72">
        <f>'Varakozasi ido I.'!G8</f>
        <v>0.0019097222222222222</v>
      </c>
      <c r="G24" s="72">
        <f t="shared" si="0"/>
        <v>0.025856481481481484</v>
      </c>
      <c r="H24" s="81"/>
      <c r="I24" s="82"/>
      <c r="J24" s="81"/>
      <c r="K24" s="81"/>
      <c r="L24" s="81"/>
      <c r="M24" s="81"/>
      <c r="N24" s="81"/>
      <c r="O24" s="81">
        <f t="shared" si="1"/>
      </c>
    </row>
    <row r="25" spans="1:15" ht="15">
      <c r="A25" s="3" t="s">
        <v>27</v>
      </c>
      <c r="B25" t="s">
        <v>202</v>
      </c>
      <c r="C25" s="74">
        <v>0</v>
      </c>
      <c r="D25" s="3" t="s">
        <v>203</v>
      </c>
      <c r="E25" s="72">
        <v>0.026875</v>
      </c>
      <c r="G25" s="72">
        <f t="shared" si="0"/>
        <v>0.026875</v>
      </c>
      <c r="H25" s="81"/>
      <c r="I25" s="82"/>
      <c r="J25" s="81"/>
      <c r="K25" s="81"/>
      <c r="L25" s="81"/>
      <c r="M25" s="81"/>
      <c r="N25" s="81"/>
      <c r="O25" s="81"/>
    </row>
    <row r="26" spans="1:15" ht="15">
      <c r="A26" s="3" t="s">
        <v>30</v>
      </c>
      <c r="B26" t="s">
        <v>243</v>
      </c>
      <c r="C26" s="74">
        <v>0</v>
      </c>
      <c r="D26" s="3" t="s">
        <v>244</v>
      </c>
      <c r="E26" s="72">
        <v>0.02774305555555556</v>
      </c>
      <c r="G26" s="72">
        <f t="shared" si="0"/>
        <v>0.02774305555555556</v>
      </c>
      <c r="H26" s="81"/>
      <c r="I26" s="82"/>
      <c r="J26" s="81"/>
      <c r="K26" s="81"/>
      <c r="L26" s="81"/>
      <c r="M26" s="81"/>
      <c r="N26" s="81"/>
      <c r="O26" s="81"/>
    </row>
    <row r="27" spans="1:7" ht="15">
      <c r="A27" s="3" t="s">
        <v>49</v>
      </c>
      <c r="B27" t="s">
        <v>233</v>
      </c>
      <c r="C27" s="74">
        <v>0</v>
      </c>
      <c r="D27" s="3" t="s">
        <v>234</v>
      </c>
      <c r="E27" s="72">
        <v>0.029699074074074072</v>
      </c>
      <c r="G27" s="72">
        <f t="shared" si="0"/>
        <v>0.029699074074074072</v>
      </c>
    </row>
    <row r="28" spans="1:7" ht="15">
      <c r="A28" s="3" t="s">
        <v>50</v>
      </c>
      <c r="B28" t="s">
        <v>235</v>
      </c>
      <c r="C28" s="74">
        <v>0</v>
      </c>
      <c r="D28" s="3" t="s">
        <v>236</v>
      </c>
      <c r="E28" s="72">
        <v>0.03045138888888889</v>
      </c>
      <c r="F28" s="72">
        <f>'Varakozasi ido I.'!G12</f>
        <v>0.0006712962962962964</v>
      </c>
      <c r="G28" s="72">
        <f t="shared" si="0"/>
        <v>0.029780092592592594</v>
      </c>
    </row>
    <row r="29" spans="1:7" ht="15">
      <c r="A29" s="3" t="s">
        <v>51</v>
      </c>
      <c r="B29" t="s">
        <v>199</v>
      </c>
      <c r="C29" s="74">
        <v>0</v>
      </c>
      <c r="D29" s="3" t="s">
        <v>200</v>
      </c>
      <c r="E29" s="72">
        <v>0.030925925925925926</v>
      </c>
      <c r="G29" s="72">
        <f t="shared" si="0"/>
        <v>0.030925925925925926</v>
      </c>
    </row>
    <row r="30" spans="1:7" ht="15">
      <c r="A30" s="3" t="s">
        <v>117</v>
      </c>
      <c r="B30" t="s">
        <v>206</v>
      </c>
      <c r="C30" s="74">
        <v>0</v>
      </c>
      <c r="D30" s="3" t="s">
        <v>207</v>
      </c>
      <c r="E30" s="72">
        <v>0.03412037037037037</v>
      </c>
      <c r="G30" s="72">
        <f t="shared" si="0"/>
        <v>0.03412037037037037</v>
      </c>
    </row>
    <row r="31" spans="1:7" ht="15">
      <c r="A31" s="3" t="s">
        <v>118</v>
      </c>
      <c r="B31" t="s">
        <v>142</v>
      </c>
      <c r="C31" s="74">
        <v>0</v>
      </c>
      <c r="D31" s="3" t="s">
        <v>201</v>
      </c>
      <c r="E31" s="72">
        <v>0.03686342592592593</v>
      </c>
      <c r="G31" s="72">
        <f t="shared" si="0"/>
        <v>0.03686342592592593</v>
      </c>
    </row>
    <row r="32" spans="1:7" ht="15">
      <c r="A32" s="3" t="s">
        <v>119</v>
      </c>
      <c r="B32" t="s">
        <v>204</v>
      </c>
      <c r="C32" s="74">
        <v>0</v>
      </c>
      <c r="D32" s="3" t="s">
        <v>205</v>
      </c>
      <c r="E32" s="72">
        <v>0.04251157407407408</v>
      </c>
      <c r="G32" s="72">
        <f t="shared" si="0"/>
        <v>0.04251157407407408</v>
      </c>
    </row>
    <row r="33" spans="1:7" ht="15">
      <c r="A33" s="3" t="s">
        <v>120</v>
      </c>
      <c r="B33" t="s">
        <v>160</v>
      </c>
      <c r="C33" s="74">
        <v>0</v>
      </c>
      <c r="E33" s="72">
        <v>0.06609953703703704</v>
      </c>
      <c r="F33" s="72">
        <f>'Varakozasi ido I.'!G19</f>
        <v>0.00636574074074074</v>
      </c>
      <c r="G33" s="72">
        <f t="shared" si="0"/>
        <v>0.0597337962962963</v>
      </c>
    </row>
    <row r="34" spans="1:7" ht="15">
      <c r="A34" s="3" t="s">
        <v>121</v>
      </c>
      <c r="B34" t="s">
        <v>265</v>
      </c>
      <c r="C34" s="74">
        <v>0</v>
      </c>
      <c r="D34" s="3" t="s">
        <v>266</v>
      </c>
      <c r="F34" s="72">
        <f>'Varakozasi ido I.'!G3</f>
        <v>0.002835648148148148</v>
      </c>
      <c r="G34" s="72">
        <f aca="true" t="shared" si="3" ref="G34:G65">IF(E34="","",E34-F34)</f>
      </c>
    </row>
    <row r="35" spans="1:7" ht="15">
      <c r="A35" s="3" t="s">
        <v>122</v>
      </c>
      <c r="B35" t="s">
        <v>267</v>
      </c>
      <c r="C35" s="74">
        <v>0</v>
      </c>
      <c r="D35" s="3" t="s">
        <v>268</v>
      </c>
      <c r="F35" s="72">
        <f>'Varakozasi ido I.'!G10</f>
        <v>0.002835648148148148</v>
      </c>
      <c r="G35" s="72">
        <f t="shared" si="3"/>
      </c>
    </row>
    <row r="36" spans="1:7" ht="15">
      <c r="A36" s="3" t="s">
        <v>166</v>
      </c>
      <c r="B36" t="s">
        <v>263</v>
      </c>
      <c r="C36" s="74">
        <v>0</v>
      </c>
      <c r="D36" s="3" t="s">
        <v>264</v>
      </c>
      <c r="F36" s="72">
        <f>'Varakozasi ido I.'!G11</f>
        <v>0.002835648148148148</v>
      </c>
      <c r="G36" s="72">
        <f t="shared" si="3"/>
      </c>
    </row>
    <row r="37" spans="1:7" ht="15">
      <c r="A37" s="3" t="s">
        <v>123</v>
      </c>
      <c r="B37" t="s">
        <v>261</v>
      </c>
      <c r="C37" s="74">
        <v>0</v>
      </c>
      <c r="D37" s="3" t="s">
        <v>262</v>
      </c>
      <c r="G37" s="72">
        <f t="shared" si="3"/>
      </c>
    </row>
    <row r="38" spans="1:7" ht="15">
      <c r="A38" s="3" t="s">
        <v>124</v>
      </c>
      <c r="B38" t="s">
        <v>212</v>
      </c>
      <c r="C38" s="74">
        <v>1</v>
      </c>
      <c r="D38" s="3" t="s">
        <v>213</v>
      </c>
      <c r="E38" s="72">
        <v>0.022037037037037036</v>
      </c>
      <c r="G38" s="72">
        <f t="shared" si="3"/>
        <v>0.022037037037037036</v>
      </c>
    </row>
    <row r="39" spans="1:7" ht="15">
      <c r="A39" s="3" t="s">
        <v>125</v>
      </c>
      <c r="B39" t="s">
        <v>197</v>
      </c>
      <c r="C39" s="74">
        <v>1</v>
      </c>
      <c r="D39" s="3" t="s">
        <v>196</v>
      </c>
      <c r="E39" s="72">
        <v>0.026516203703703698</v>
      </c>
      <c r="G39" s="72">
        <f t="shared" si="3"/>
        <v>0.026516203703703698</v>
      </c>
    </row>
    <row r="40" spans="1:7" ht="15">
      <c r="A40" s="3" t="s">
        <v>126</v>
      </c>
      <c r="B40" t="s">
        <v>226</v>
      </c>
      <c r="C40" s="74">
        <v>7</v>
      </c>
      <c r="D40" s="3" t="s">
        <v>227</v>
      </c>
      <c r="E40" s="72">
        <v>0.013796296296296298</v>
      </c>
      <c r="G40" s="72">
        <f t="shared" si="3"/>
        <v>0.013796296296296298</v>
      </c>
    </row>
    <row r="41" spans="1:7" ht="15">
      <c r="A41" s="3" t="s">
        <v>127</v>
      </c>
      <c r="B41" t="s">
        <v>216</v>
      </c>
      <c r="C41" s="74">
        <v>9</v>
      </c>
      <c r="D41" s="3" t="s">
        <v>217</v>
      </c>
      <c r="E41" s="72">
        <v>0.02175925925925926</v>
      </c>
      <c r="F41" s="72">
        <f>'Varakozasi ido I.'!G17</f>
        <v>0.00028935185185185184</v>
      </c>
      <c r="G41" s="72">
        <f t="shared" si="3"/>
        <v>0.021469907407407406</v>
      </c>
    </row>
    <row r="42" spans="1:7" ht="15">
      <c r="A42" s="3" t="s">
        <v>128</v>
      </c>
      <c r="G42" s="72">
        <f t="shared" si="3"/>
      </c>
    </row>
    <row r="43" spans="1:7" ht="15">
      <c r="A43" s="3" t="s">
        <v>129</v>
      </c>
      <c r="G43" s="72">
        <f t="shared" si="3"/>
      </c>
    </row>
    <row r="44" spans="1:7" ht="15">
      <c r="A44" s="3" t="s">
        <v>130</v>
      </c>
      <c r="G44" s="72">
        <f t="shared" si="3"/>
      </c>
    </row>
    <row r="45" spans="1:7" ht="15">
      <c r="A45" s="3" t="s">
        <v>131</v>
      </c>
      <c r="G45" s="72">
        <f t="shared" si="3"/>
      </c>
    </row>
    <row r="46" spans="1:7" ht="15">
      <c r="A46" s="3" t="s">
        <v>132</v>
      </c>
      <c r="G46" s="72">
        <f t="shared" si="3"/>
      </c>
    </row>
    <row r="47" spans="1:7" ht="15">
      <c r="A47" s="3" t="s">
        <v>133</v>
      </c>
      <c r="G47" s="72">
        <f t="shared" si="3"/>
      </c>
    </row>
    <row r="48" spans="1:7" ht="15">
      <c r="A48" s="3" t="s">
        <v>134</v>
      </c>
      <c r="G48" s="72">
        <f t="shared" si="3"/>
      </c>
    </row>
    <row r="49" spans="1:7" ht="15">
      <c r="A49" s="3" t="s">
        <v>167</v>
      </c>
      <c r="G49" s="72">
        <f t="shared" si="3"/>
      </c>
    </row>
    <row r="50" spans="1:7" ht="15">
      <c r="A50" s="3" t="s">
        <v>168</v>
      </c>
      <c r="G50" s="72">
        <f t="shared" si="3"/>
      </c>
    </row>
    <row r="51" spans="1:7" ht="15">
      <c r="A51" s="3" t="s">
        <v>169</v>
      </c>
      <c r="G51" s="72">
        <f t="shared" si="3"/>
      </c>
    </row>
    <row r="52" spans="1:7" ht="15">
      <c r="A52" s="3" t="s">
        <v>170</v>
      </c>
      <c r="G52" s="72">
        <f t="shared" si="3"/>
      </c>
    </row>
    <row r="53" spans="1:7" ht="15">
      <c r="A53" s="3" t="s">
        <v>171</v>
      </c>
      <c r="G53" s="72">
        <f t="shared" si="3"/>
      </c>
    </row>
    <row r="54" spans="1:7" ht="15">
      <c r="A54" s="3" t="s">
        <v>172</v>
      </c>
      <c r="G54" s="72">
        <f t="shared" si="3"/>
      </c>
    </row>
    <row r="55" spans="1:7" ht="15">
      <c r="A55" s="3" t="s">
        <v>173</v>
      </c>
      <c r="G55" s="72">
        <f t="shared" si="3"/>
      </c>
    </row>
    <row r="56" spans="1:7" ht="15">
      <c r="A56" s="3" t="s">
        <v>174</v>
      </c>
      <c r="G56" s="72">
        <f t="shared" si="3"/>
      </c>
    </row>
    <row r="57" spans="1:7" ht="15">
      <c r="A57" s="3" t="s">
        <v>175</v>
      </c>
      <c r="G57" s="72">
        <f t="shared" si="3"/>
      </c>
    </row>
    <row r="58" spans="1:7" ht="15">
      <c r="A58" s="3" t="s">
        <v>176</v>
      </c>
      <c r="G58" s="72">
        <f t="shared" si="3"/>
      </c>
    </row>
    <row r="59" spans="1:7" ht="15">
      <c r="A59" s="3" t="s">
        <v>177</v>
      </c>
      <c r="G59" s="72">
        <f t="shared" si="3"/>
      </c>
    </row>
    <row r="60" spans="1:7" ht="15">
      <c r="A60" s="3" t="s">
        <v>178</v>
      </c>
      <c r="G60" s="72">
        <f t="shared" si="3"/>
      </c>
    </row>
    <row r="61" spans="1:7" ht="15">
      <c r="A61" s="3" t="s">
        <v>179</v>
      </c>
      <c r="G61" s="72">
        <f t="shared" si="3"/>
      </c>
    </row>
    <row r="62" spans="1:7" ht="15">
      <c r="A62" s="3" t="s">
        <v>181</v>
      </c>
      <c r="G62" s="72">
        <f t="shared" si="3"/>
      </c>
    </row>
    <row r="63" spans="1:7" ht="15">
      <c r="A63" s="3" t="s">
        <v>182</v>
      </c>
      <c r="G63" s="72">
        <f t="shared" si="3"/>
      </c>
    </row>
    <row r="64" spans="1:7" ht="15">
      <c r="A64" s="3" t="s">
        <v>183</v>
      </c>
      <c r="G64" s="72">
        <f t="shared" si="3"/>
      </c>
    </row>
    <row r="65" spans="1:7" ht="15">
      <c r="A65" s="3" t="s">
        <v>184</v>
      </c>
      <c r="G65" s="72">
        <f t="shared" si="3"/>
      </c>
    </row>
    <row r="66" spans="1:7" ht="15">
      <c r="A66" s="3" t="s">
        <v>185</v>
      </c>
      <c r="G66" s="72">
        <f>IF(E66="","",E66-F66)</f>
      </c>
    </row>
    <row r="67" spans="1:7" ht="15">
      <c r="A67" s="3" t="s">
        <v>186</v>
      </c>
      <c r="G67" s="72">
        <f>IF(E67="","",E67-F67)</f>
      </c>
    </row>
    <row r="68" spans="1:7" ht="15">
      <c r="A68" s="3" t="s">
        <v>187</v>
      </c>
      <c r="G68" s="72">
        <f>IF(E68="","",E68-F68)</f>
      </c>
    </row>
  </sheetData>
  <sheetProtection/>
  <printOptions/>
  <pageMargins left="0.7086614173228347" right="0.7086614173228347" top="1.1023622047244095" bottom="0.7480314960629921" header="0.31496062992125984" footer="0.31496062992125984"/>
  <pageSetup horizontalDpi="600" verticalDpi="600" orientation="portrait" paperSize="9" r:id="rId1"/>
  <headerFooter>
    <oddHeader>&amp;CSzabadsport Bajnokság
KOMPLEX verseny I.
NORMAFA</oddHeader>
    <oddFooter>&amp;C2010.09.21.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25.140625" style="0" customWidth="1"/>
    <col min="2" max="6" width="12.140625" style="71" customWidth="1"/>
    <col min="7" max="7" width="15.28125" style="78" customWidth="1"/>
  </cols>
  <sheetData>
    <row r="1" spans="1:7" ht="18.75">
      <c r="A1" s="75" t="s">
        <v>0</v>
      </c>
      <c r="B1" s="196" t="s">
        <v>188</v>
      </c>
      <c r="C1" s="196"/>
      <c r="D1" s="196"/>
      <c r="E1" s="196"/>
      <c r="F1" s="196"/>
      <c r="G1" s="76" t="s">
        <v>42</v>
      </c>
    </row>
    <row r="2" spans="1:7" ht="18.75">
      <c r="A2" s="1" t="s">
        <v>250</v>
      </c>
      <c r="B2" s="77">
        <v>0.0018402777777777777</v>
      </c>
      <c r="C2" s="77"/>
      <c r="D2" s="77"/>
      <c r="E2" s="77"/>
      <c r="F2" s="77">
        <v>0.0009259259259259259</v>
      </c>
      <c r="G2" s="76">
        <f aca="true" t="shared" si="0" ref="G2:G25">IF(COUNTA(B2:F2)=0,"",SUM(B2:F2))</f>
        <v>0.0027662037037037034</v>
      </c>
    </row>
    <row r="3" spans="1:7" ht="18.75">
      <c r="A3" s="1" t="s">
        <v>265</v>
      </c>
      <c r="B3" s="77">
        <v>0.002835648148148148</v>
      </c>
      <c r="C3" s="77"/>
      <c r="D3" s="77"/>
      <c r="E3" s="77"/>
      <c r="F3" s="77"/>
      <c r="G3" s="76">
        <f t="shared" si="0"/>
        <v>0.002835648148148148</v>
      </c>
    </row>
    <row r="4" spans="1:7" ht="18.75">
      <c r="A4" s="1" t="s">
        <v>191</v>
      </c>
      <c r="B4" s="77">
        <v>0.0004976851851851852</v>
      </c>
      <c r="C4" s="77">
        <v>0.0010416666666666667</v>
      </c>
      <c r="D4" s="77"/>
      <c r="E4" s="77"/>
      <c r="F4" s="77"/>
      <c r="G4" s="76">
        <f t="shared" si="0"/>
        <v>0.0015393518518518519</v>
      </c>
    </row>
    <row r="5" spans="1:7" ht="18.75">
      <c r="A5" s="1" t="s">
        <v>241</v>
      </c>
      <c r="B5" s="77">
        <v>0.004166666666666667</v>
      </c>
      <c r="C5" s="77">
        <v>0.001388888888888889</v>
      </c>
      <c r="D5" s="77">
        <v>3.472222222222222E-05</v>
      </c>
      <c r="E5" s="77"/>
      <c r="F5" s="77"/>
      <c r="G5" s="76">
        <f t="shared" si="0"/>
        <v>0.005590277777777778</v>
      </c>
    </row>
    <row r="6" spans="1:7" ht="18.75">
      <c r="A6" s="1" t="s">
        <v>223</v>
      </c>
      <c r="B6" s="77">
        <v>0.0005092592592592592</v>
      </c>
      <c r="C6" s="77">
        <v>0.0002662037037037037</v>
      </c>
      <c r="D6" s="77"/>
      <c r="E6" s="77"/>
      <c r="F6" s="77"/>
      <c r="G6" s="76">
        <f t="shared" si="0"/>
        <v>0.0007754629629629629</v>
      </c>
    </row>
    <row r="7" spans="1:7" ht="18.75">
      <c r="A7" s="1" t="s">
        <v>195</v>
      </c>
      <c r="B7" s="77">
        <v>0.001388888888888889</v>
      </c>
      <c r="C7" s="77"/>
      <c r="D7" s="77"/>
      <c r="E7" s="77"/>
      <c r="F7" s="77"/>
      <c r="G7" s="76">
        <f t="shared" si="0"/>
        <v>0.001388888888888889</v>
      </c>
    </row>
    <row r="8" spans="1:7" ht="18.75">
      <c r="A8" s="1" t="s">
        <v>239</v>
      </c>
      <c r="B8" s="77">
        <v>0.0009837962962962964</v>
      </c>
      <c r="C8" s="77">
        <v>0.00023148148148148146</v>
      </c>
      <c r="D8" s="77">
        <v>0.0004629629629629629</v>
      </c>
      <c r="E8" s="77">
        <v>0.00023148148148148146</v>
      </c>
      <c r="F8" s="77"/>
      <c r="G8" s="76">
        <f t="shared" si="0"/>
        <v>0.0019097222222222222</v>
      </c>
    </row>
    <row r="9" spans="1:7" ht="18.75">
      <c r="A9" s="1" t="s">
        <v>252</v>
      </c>
      <c r="B9" s="77">
        <v>0.0005787037037037038</v>
      </c>
      <c r="C9" s="77"/>
      <c r="D9" s="77"/>
      <c r="E9" s="77">
        <v>0.0003125</v>
      </c>
      <c r="F9" s="77">
        <v>0.0011574074074074073</v>
      </c>
      <c r="G9" s="76">
        <f t="shared" si="0"/>
        <v>0.0020486111111111113</v>
      </c>
    </row>
    <row r="10" spans="1:7" ht="18.75">
      <c r="A10" s="1" t="s">
        <v>267</v>
      </c>
      <c r="B10" s="77">
        <v>0.002835648148148148</v>
      </c>
      <c r="C10" s="77"/>
      <c r="D10" s="77"/>
      <c r="E10" s="77"/>
      <c r="F10" s="77"/>
      <c r="G10" s="76">
        <f t="shared" si="0"/>
        <v>0.002835648148148148</v>
      </c>
    </row>
    <row r="11" spans="1:7" ht="18.75">
      <c r="A11" s="1" t="s">
        <v>263</v>
      </c>
      <c r="B11" s="77">
        <v>0.002835648148148148</v>
      </c>
      <c r="C11" s="77"/>
      <c r="D11" s="77"/>
      <c r="E11" s="77"/>
      <c r="F11" s="77"/>
      <c r="G11" s="76">
        <f t="shared" si="0"/>
        <v>0.002835648148148148</v>
      </c>
    </row>
    <row r="12" spans="1:7" ht="18.75">
      <c r="A12" s="1" t="s">
        <v>235</v>
      </c>
      <c r="B12" s="77">
        <v>0.0005787037037037038</v>
      </c>
      <c r="C12" s="77"/>
      <c r="D12" s="77">
        <v>9.259259259259259E-05</v>
      </c>
      <c r="E12" s="77"/>
      <c r="F12" s="77"/>
      <c r="G12" s="76">
        <f t="shared" si="0"/>
        <v>0.0006712962962962964</v>
      </c>
    </row>
    <row r="13" spans="1:7" ht="18.75">
      <c r="A13" s="1" t="s">
        <v>261</v>
      </c>
      <c r="B13" s="77">
        <v>0.002835648148148148</v>
      </c>
      <c r="C13" s="77"/>
      <c r="D13" s="77"/>
      <c r="E13" s="77"/>
      <c r="F13" s="77">
        <v>0.00034722222222222224</v>
      </c>
      <c r="G13" s="76">
        <f t="shared" si="0"/>
        <v>0.00318287037037037</v>
      </c>
    </row>
    <row r="14" spans="1:7" ht="18.75">
      <c r="A14" s="1" t="s">
        <v>161</v>
      </c>
      <c r="B14" s="77">
        <v>0.001388888888888889</v>
      </c>
      <c r="C14" s="77"/>
      <c r="D14" s="77"/>
      <c r="E14" s="77"/>
      <c r="F14" s="77"/>
      <c r="G14" s="76">
        <f t="shared" si="0"/>
        <v>0.001388888888888889</v>
      </c>
    </row>
    <row r="15" spans="1:7" ht="18.75">
      <c r="A15" s="1" t="s">
        <v>256</v>
      </c>
      <c r="B15" s="77">
        <v>0.001388888888888889</v>
      </c>
      <c r="C15" s="77"/>
      <c r="D15" s="77"/>
      <c r="E15" s="77">
        <v>0.0007523148148148147</v>
      </c>
      <c r="F15" s="77">
        <v>0.0006944444444444445</v>
      </c>
      <c r="G15" s="76">
        <f t="shared" si="0"/>
        <v>0.0028356481481481483</v>
      </c>
    </row>
    <row r="16" spans="1:7" ht="18.75">
      <c r="A16" s="1" t="s">
        <v>237</v>
      </c>
      <c r="B16" s="77">
        <v>0.006944444444444444</v>
      </c>
      <c r="C16" s="77"/>
      <c r="D16" s="77"/>
      <c r="E16" s="77"/>
      <c r="F16" s="77"/>
      <c r="G16" s="76">
        <f t="shared" si="0"/>
        <v>0.006944444444444444</v>
      </c>
    </row>
    <row r="17" spans="1:7" ht="18.75">
      <c r="A17" s="1" t="s">
        <v>216</v>
      </c>
      <c r="B17" s="77">
        <v>0.00011574074074074073</v>
      </c>
      <c r="C17" s="77">
        <v>0.00017361111111111112</v>
      </c>
      <c r="D17" s="77"/>
      <c r="E17" s="77"/>
      <c r="F17" s="77"/>
      <c r="G17" s="76">
        <f t="shared" si="0"/>
        <v>0.00028935185185185184</v>
      </c>
    </row>
    <row r="18" spans="1:7" ht="18.75">
      <c r="A18" s="1" t="s">
        <v>189</v>
      </c>
      <c r="B18" s="77">
        <v>0.0005092592592592592</v>
      </c>
      <c r="C18" s="77">
        <v>0.0004629629629629629</v>
      </c>
      <c r="D18" s="77"/>
      <c r="E18" s="77"/>
      <c r="F18" s="77"/>
      <c r="G18" s="76">
        <f t="shared" si="0"/>
        <v>0.0009722222222222222</v>
      </c>
    </row>
    <row r="19" spans="1:7" ht="18.75">
      <c r="A19" s="1" t="s">
        <v>160</v>
      </c>
      <c r="B19" s="77">
        <v>0.00636574074074074</v>
      </c>
      <c r="C19" s="77"/>
      <c r="D19" s="77"/>
      <c r="E19" s="77"/>
      <c r="F19" s="77"/>
      <c r="G19" s="76">
        <f t="shared" si="0"/>
        <v>0.00636574074074074</v>
      </c>
    </row>
    <row r="20" spans="1:7" ht="18.75">
      <c r="A20" s="1" t="s">
        <v>221</v>
      </c>
      <c r="B20" s="77">
        <v>0.0006944444444444445</v>
      </c>
      <c r="C20" s="77"/>
      <c r="D20" s="77"/>
      <c r="E20" s="77"/>
      <c r="F20" s="77"/>
      <c r="G20" s="76">
        <f t="shared" si="0"/>
        <v>0.0006944444444444445</v>
      </c>
    </row>
    <row r="21" spans="1:7" ht="18.75">
      <c r="A21" s="1" t="s">
        <v>247</v>
      </c>
      <c r="B21" s="77">
        <v>0.004953703703703704</v>
      </c>
      <c r="C21" s="77"/>
      <c r="D21" s="77"/>
      <c r="E21" s="77"/>
      <c r="F21" s="77"/>
      <c r="G21" s="76">
        <f t="shared" si="0"/>
        <v>0.004953703703703704</v>
      </c>
    </row>
    <row r="22" spans="1:7" ht="18.75">
      <c r="A22" s="1" t="s">
        <v>148</v>
      </c>
      <c r="B22" s="77">
        <v>0.00042824074074074075</v>
      </c>
      <c r="C22" s="77">
        <v>0.0015624999999999999</v>
      </c>
      <c r="D22" s="77"/>
      <c r="E22" s="77"/>
      <c r="F22" s="77"/>
      <c r="G22" s="76">
        <f t="shared" si="0"/>
        <v>0.001990740740740741</v>
      </c>
    </row>
    <row r="23" spans="1:7" ht="18.75">
      <c r="A23" s="1" t="s">
        <v>193</v>
      </c>
      <c r="B23" s="77">
        <v>0.0004976851851851852</v>
      </c>
      <c r="C23" s="77">
        <v>0.0012731481481481483</v>
      </c>
      <c r="D23" s="77"/>
      <c r="E23" s="77"/>
      <c r="F23" s="77"/>
      <c r="G23" s="76">
        <f t="shared" si="0"/>
        <v>0.0017708333333333335</v>
      </c>
    </row>
    <row r="24" spans="1:7" ht="18.75">
      <c r="A24" s="1" t="s">
        <v>254</v>
      </c>
      <c r="B24" s="77">
        <v>0.0006944444444444445</v>
      </c>
      <c r="C24" s="77"/>
      <c r="D24" s="77"/>
      <c r="E24" s="77"/>
      <c r="F24" s="77">
        <v>0.00034722222222222224</v>
      </c>
      <c r="G24" s="76">
        <f t="shared" si="0"/>
        <v>0.0010416666666666667</v>
      </c>
    </row>
    <row r="25" spans="1:7" ht="18.75">
      <c r="A25" s="1" t="s">
        <v>243</v>
      </c>
      <c r="B25" s="77">
        <v>0.002361111111111111</v>
      </c>
      <c r="C25" s="77">
        <v>0.0020833333333333333</v>
      </c>
      <c r="D25" s="77">
        <v>0.0006134259259259259</v>
      </c>
      <c r="E25" s="77">
        <v>0.00032407407407407406</v>
      </c>
      <c r="F25" s="77"/>
      <c r="G25" s="76">
        <f t="shared" si="0"/>
        <v>0.005381944444444444</v>
      </c>
    </row>
    <row r="26" spans="1:7" ht="18.75">
      <c r="A26" s="1" t="s">
        <v>214</v>
      </c>
      <c r="B26" s="77"/>
      <c r="C26" s="77">
        <v>0.0003125</v>
      </c>
      <c r="D26" s="77"/>
      <c r="E26" s="77"/>
      <c r="F26" s="77"/>
      <c r="G26" s="76">
        <f aca="true" t="shared" si="1" ref="G26:G64">IF(COUNTA(B26:F26)=0,"",SUM(B26:F26))</f>
        <v>0.0003125</v>
      </c>
    </row>
    <row r="27" spans="1:7" ht="18.75">
      <c r="A27" s="1" t="s">
        <v>245</v>
      </c>
      <c r="B27" s="77"/>
      <c r="C27" s="77">
        <v>0.0010416666666666667</v>
      </c>
      <c r="D27" s="77"/>
      <c r="E27" s="77"/>
      <c r="F27" s="77"/>
      <c r="G27" s="76">
        <f t="shared" si="1"/>
        <v>0.0010416666666666667</v>
      </c>
    </row>
    <row r="28" spans="1:7" ht="18.75">
      <c r="A28" s="1"/>
      <c r="B28" s="77"/>
      <c r="C28" s="77"/>
      <c r="D28" s="77"/>
      <c r="E28" s="77"/>
      <c r="F28" s="77"/>
      <c r="G28" s="76">
        <f t="shared" si="1"/>
      </c>
    </row>
    <row r="29" spans="1:7" ht="18.75">
      <c r="A29" s="1"/>
      <c r="B29" s="77"/>
      <c r="C29" s="77"/>
      <c r="D29" s="77"/>
      <c r="E29" s="77"/>
      <c r="F29" s="77"/>
      <c r="G29" s="76">
        <f t="shared" si="1"/>
      </c>
    </row>
    <row r="30" spans="1:7" ht="18.75">
      <c r="A30" s="1"/>
      <c r="B30" s="77"/>
      <c r="C30" s="77"/>
      <c r="D30" s="77"/>
      <c r="E30" s="77"/>
      <c r="F30" s="77"/>
      <c r="G30" s="76">
        <f t="shared" si="1"/>
      </c>
    </row>
    <row r="31" spans="1:7" ht="18.75">
      <c r="A31" s="1"/>
      <c r="B31" s="77"/>
      <c r="C31" s="77"/>
      <c r="D31" s="77"/>
      <c r="E31" s="77"/>
      <c r="F31" s="77"/>
      <c r="G31" s="76">
        <f t="shared" si="1"/>
      </c>
    </row>
    <row r="32" spans="1:7" ht="18.75">
      <c r="A32" s="1"/>
      <c r="B32" s="77"/>
      <c r="C32" s="77"/>
      <c r="D32" s="77"/>
      <c r="E32" s="77"/>
      <c r="F32" s="77"/>
      <c r="G32" s="76">
        <f t="shared" si="1"/>
      </c>
    </row>
    <row r="33" spans="1:7" ht="18.75">
      <c r="A33" s="1"/>
      <c r="B33" s="77"/>
      <c r="C33" s="77"/>
      <c r="D33" s="77"/>
      <c r="E33" s="77"/>
      <c r="F33" s="77"/>
      <c r="G33" s="76">
        <f t="shared" si="1"/>
      </c>
    </row>
    <row r="34" spans="1:7" ht="18.75">
      <c r="A34" s="1"/>
      <c r="B34" s="77"/>
      <c r="C34" s="77"/>
      <c r="D34" s="77"/>
      <c r="E34" s="77"/>
      <c r="F34" s="77"/>
      <c r="G34" s="76">
        <f t="shared" si="1"/>
      </c>
    </row>
    <row r="35" spans="1:7" ht="18.75">
      <c r="A35" s="1"/>
      <c r="B35" s="77"/>
      <c r="C35" s="77"/>
      <c r="D35" s="77"/>
      <c r="E35" s="77"/>
      <c r="F35" s="77"/>
      <c r="G35" s="76">
        <f t="shared" si="1"/>
      </c>
    </row>
    <row r="36" spans="1:7" ht="18.75">
      <c r="A36" s="1"/>
      <c r="B36" s="77"/>
      <c r="C36" s="77"/>
      <c r="D36" s="77"/>
      <c r="E36" s="77"/>
      <c r="F36" s="77"/>
      <c r="G36" s="76">
        <f t="shared" si="1"/>
      </c>
    </row>
    <row r="37" spans="1:7" ht="18.75">
      <c r="A37" s="1"/>
      <c r="B37" s="77"/>
      <c r="C37" s="77"/>
      <c r="D37" s="77"/>
      <c r="E37" s="77"/>
      <c r="F37" s="77"/>
      <c r="G37" s="76">
        <f t="shared" si="1"/>
      </c>
    </row>
    <row r="38" spans="1:7" ht="18.75">
      <c r="A38" s="1"/>
      <c r="B38" s="77"/>
      <c r="C38" s="77"/>
      <c r="D38" s="77"/>
      <c r="E38" s="77"/>
      <c r="F38" s="77"/>
      <c r="G38" s="76">
        <f t="shared" si="1"/>
      </c>
    </row>
    <row r="39" spans="1:7" ht="18.75">
      <c r="A39" s="1"/>
      <c r="B39" s="77"/>
      <c r="C39" s="77"/>
      <c r="D39" s="77"/>
      <c r="E39" s="77"/>
      <c r="F39" s="77"/>
      <c r="G39" s="76">
        <f t="shared" si="1"/>
      </c>
    </row>
    <row r="40" spans="1:7" ht="18.75">
      <c r="A40" s="1"/>
      <c r="B40" s="77"/>
      <c r="C40" s="77"/>
      <c r="D40" s="77"/>
      <c r="E40" s="77"/>
      <c r="F40" s="77"/>
      <c r="G40" s="76">
        <f t="shared" si="1"/>
      </c>
    </row>
    <row r="41" spans="1:7" ht="18.75">
      <c r="A41" s="1"/>
      <c r="B41" s="77"/>
      <c r="C41" s="77"/>
      <c r="D41" s="77"/>
      <c r="E41" s="77"/>
      <c r="F41" s="77"/>
      <c r="G41" s="76">
        <f t="shared" si="1"/>
      </c>
    </row>
    <row r="42" spans="1:7" ht="18.75">
      <c r="A42" s="1"/>
      <c r="B42" s="77"/>
      <c r="C42" s="77"/>
      <c r="D42" s="77"/>
      <c r="E42" s="77"/>
      <c r="F42" s="77"/>
      <c r="G42" s="76">
        <f t="shared" si="1"/>
      </c>
    </row>
    <row r="43" spans="1:7" ht="18.75">
      <c r="A43" s="1"/>
      <c r="B43" s="77"/>
      <c r="C43" s="77"/>
      <c r="D43" s="77"/>
      <c r="E43" s="77"/>
      <c r="F43" s="77"/>
      <c r="G43" s="76">
        <f t="shared" si="1"/>
      </c>
    </row>
    <row r="44" spans="1:7" ht="18.75">
      <c r="A44" s="1"/>
      <c r="B44" s="77"/>
      <c r="C44" s="77"/>
      <c r="D44" s="77"/>
      <c r="E44" s="77"/>
      <c r="F44" s="77"/>
      <c r="G44" s="76">
        <f t="shared" si="1"/>
      </c>
    </row>
    <row r="45" spans="1:7" ht="18.75">
      <c r="A45" s="1"/>
      <c r="B45" s="77"/>
      <c r="C45" s="77"/>
      <c r="D45" s="77"/>
      <c r="E45" s="77"/>
      <c r="F45" s="77"/>
      <c r="G45" s="76">
        <f t="shared" si="1"/>
      </c>
    </row>
    <row r="46" spans="1:7" ht="18.75">
      <c r="A46" s="1"/>
      <c r="B46" s="77"/>
      <c r="C46" s="77"/>
      <c r="D46" s="77"/>
      <c r="E46" s="77"/>
      <c r="F46" s="77"/>
      <c r="G46" s="76">
        <f t="shared" si="1"/>
      </c>
    </row>
    <row r="47" spans="1:7" ht="18.75">
      <c r="A47" s="1"/>
      <c r="B47" s="77"/>
      <c r="C47" s="77"/>
      <c r="D47" s="77"/>
      <c r="E47" s="77"/>
      <c r="F47" s="77"/>
      <c r="G47" s="76">
        <f t="shared" si="1"/>
      </c>
    </row>
    <row r="48" spans="1:7" ht="18.75">
      <c r="A48" s="1"/>
      <c r="B48" s="77"/>
      <c r="C48" s="77"/>
      <c r="D48" s="77"/>
      <c r="E48" s="77"/>
      <c r="F48" s="77"/>
      <c r="G48" s="76">
        <f t="shared" si="1"/>
      </c>
    </row>
    <row r="49" spans="1:7" ht="18.75">
      <c r="A49" s="1"/>
      <c r="B49" s="77"/>
      <c r="C49" s="77"/>
      <c r="D49" s="77"/>
      <c r="E49" s="77"/>
      <c r="F49" s="77"/>
      <c r="G49" s="76">
        <f t="shared" si="1"/>
      </c>
    </row>
    <row r="50" spans="1:7" ht="18.75">
      <c r="A50" s="1"/>
      <c r="B50" s="77"/>
      <c r="C50" s="77"/>
      <c r="D50" s="77"/>
      <c r="E50" s="77"/>
      <c r="F50" s="77"/>
      <c r="G50" s="76">
        <f t="shared" si="1"/>
      </c>
    </row>
    <row r="51" spans="1:7" ht="18.75">
      <c r="A51" s="1"/>
      <c r="B51" s="77"/>
      <c r="C51" s="77"/>
      <c r="D51" s="77"/>
      <c r="E51" s="77"/>
      <c r="F51" s="77"/>
      <c r="G51" s="76">
        <f t="shared" si="1"/>
      </c>
    </row>
    <row r="52" spans="1:7" ht="18.75">
      <c r="A52" s="1"/>
      <c r="B52" s="77"/>
      <c r="C52" s="77"/>
      <c r="D52" s="77"/>
      <c r="E52" s="77"/>
      <c r="F52" s="77"/>
      <c r="G52" s="76">
        <f t="shared" si="1"/>
      </c>
    </row>
    <row r="53" spans="1:7" ht="18.75">
      <c r="A53" s="1"/>
      <c r="B53" s="77"/>
      <c r="C53" s="77"/>
      <c r="D53" s="77"/>
      <c r="E53" s="77"/>
      <c r="F53" s="77"/>
      <c r="G53" s="76">
        <f t="shared" si="1"/>
      </c>
    </row>
    <row r="54" spans="1:7" ht="18.75">
      <c r="A54" s="1"/>
      <c r="B54" s="77"/>
      <c r="C54" s="77"/>
      <c r="D54" s="77"/>
      <c r="E54" s="77"/>
      <c r="F54" s="77"/>
      <c r="G54" s="76">
        <f t="shared" si="1"/>
      </c>
    </row>
    <row r="55" spans="1:7" ht="18.75">
      <c r="A55" s="1"/>
      <c r="B55" s="77"/>
      <c r="C55" s="77"/>
      <c r="D55" s="77"/>
      <c r="E55" s="77"/>
      <c r="F55" s="77"/>
      <c r="G55" s="76">
        <f t="shared" si="1"/>
      </c>
    </row>
    <row r="56" spans="1:7" ht="18.75">
      <c r="A56" s="1"/>
      <c r="B56" s="77"/>
      <c r="C56" s="77"/>
      <c r="D56" s="77"/>
      <c r="E56" s="77"/>
      <c r="F56" s="77"/>
      <c r="G56" s="76">
        <f t="shared" si="1"/>
      </c>
    </row>
    <row r="57" spans="1:7" ht="18.75">
      <c r="A57" s="1"/>
      <c r="B57" s="77"/>
      <c r="C57" s="77"/>
      <c r="D57" s="77"/>
      <c r="E57" s="77"/>
      <c r="F57" s="77"/>
      <c r="G57" s="76">
        <f t="shared" si="1"/>
      </c>
    </row>
    <row r="58" spans="1:7" ht="18.75">
      <c r="A58" s="1"/>
      <c r="B58" s="77"/>
      <c r="C58" s="77"/>
      <c r="D58" s="77"/>
      <c r="E58" s="77"/>
      <c r="F58" s="77"/>
      <c r="G58" s="76">
        <f t="shared" si="1"/>
      </c>
    </row>
    <row r="59" spans="1:7" ht="18.75">
      <c r="A59" s="1"/>
      <c r="B59" s="77"/>
      <c r="C59" s="77"/>
      <c r="D59" s="77"/>
      <c r="E59" s="77"/>
      <c r="F59" s="77"/>
      <c r="G59" s="76">
        <f t="shared" si="1"/>
      </c>
    </row>
    <row r="60" spans="1:7" ht="18.75">
      <c r="A60" s="1"/>
      <c r="B60" s="77"/>
      <c r="C60" s="77"/>
      <c r="D60" s="77"/>
      <c r="E60" s="77"/>
      <c r="F60" s="77"/>
      <c r="G60" s="76">
        <f t="shared" si="1"/>
      </c>
    </row>
    <row r="61" spans="1:7" ht="18.75">
      <c r="A61" s="1"/>
      <c r="B61" s="77"/>
      <c r="C61" s="77"/>
      <c r="D61" s="77"/>
      <c r="E61" s="77"/>
      <c r="F61" s="77"/>
      <c r="G61" s="76">
        <f t="shared" si="1"/>
      </c>
    </row>
    <row r="62" spans="1:7" ht="18.75">
      <c r="A62" s="1"/>
      <c r="B62" s="77"/>
      <c r="C62" s="77"/>
      <c r="D62" s="77"/>
      <c r="E62" s="77"/>
      <c r="F62" s="77"/>
      <c r="G62" s="76">
        <f t="shared" si="1"/>
      </c>
    </row>
    <row r="63" spans="1:7" ht="18.75">
      <c r="A63" s="1"/>
      <c r="B63" s="77"/>
      <c r="C63" s="77"/>
      <c r="D63" s="77"/>
      <c r="E63" s="77"/>
      <c r="F63" s="77"/>
      <c r="G63" s="76">
        <f t="shared" si="1"/>
      </c>
    </row>
    <row r="64" spans="1:7" ht="18.75">
      <c r="A64" s="1"/>
      <c r="B64" s="77"/>
      <c r="C64" s="77"/>
      <c r="D64" s="77"/>
      <c r="E64" s="77"/>
      <c r="F64" s="77"/>
      <c r="G64" s="76">
        <f t="shared" si="1"/>
      </c>
    </row>
    <row r="65" spans="1:7" ht="18.75">
      <c r="A65" s="1"/>
      <c r="B65" s="77"/>
      <c r="C65" s="77"/>
      <c r="D65" s="77"/>
      <c r="E65" s="77"/>
      <c r="F65" s="77"/>
      <c r="G65" s="76">
        <f>IF(COUNTA(B65:F65)=0,"",SUM(B65:F65))</f>
      </c>
    </row>
    <row r="66" spans="1:7" ht="18.75">
      <c r="A66" s="1"/>
      <c r="B66" s="77"/>
      <c r="C66" s="77"/>
      <c r="D66" s="77"/>
      <c r="E66" s="77"/>
      <c r="F66" s="77"/>
      <c r="G66" s="76">
        <f>IF(COUNTA(B66:F66)=0,"",SUM(B66:F66))</f>
      </c>
    </row>
    <row r="67" spans="1:7" ht="18.75">
      <c r="A67" s="1"/>
      <c r="B67" s="77"/>
      <c r="C67" s="77"/>
      <c r="D67" s="77"/>
      <c r="E67" s="77"/>
      <c r="F67" s="77"/>
      <c r="G67" s="76">
        <f>IF(COUNTA(B67:F67)=0,"",SUM(B67:F67))</f>
      </c>
    </row>
    <row r="68" spans="1:7" ht="18.75">
      <c r="A68" s="1"/>
      <c r="B68" s="77"/>
      <c r="C68" s="77"/>
      <c r="D68" s="77"/>
      <c r="E68" s="77"/>
      <c r="F68" s="77"/>
      <c r="G68" s="76">
        <f>IF(COUNTA(B68:F68)=0,"",SUM(B68:F68))</f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:J13"/>
    </sheetView>
  </sheetViews>
  <sheetFormatPr defaultColWidth="9.140625" defaultRowHeight="15"/>
  <cols>
    <col min="1" max="1" width="5.140625" style="3" customWidth="1"/>
    <col min="2" max="2" width="26.28125" style="0" customWidth="1"/>
    <col min="3" max="3" width="3.00390625" style="74" customWidth="1"/>
    <col min="4" max="4" width="14.8515625" style="3" customWidth="1"/>
    <col min="5" max="5" width="12.7109375" style="72" customWidth="1"/>
    <col min="6" max="6" width="12.57421875" style="72" customWidth="1"/>
    <col min="7" max="7" width="11.7109375" style="72" customWidth="1"/>
    <col min="8" max="8" width="6.00390625" style="3" customWidth="1"/>
    <col min="9" max="9" width="23.7109375" style="0" customWidth="1"/>
    <col min="10" max="15" width="9.140625" style="72" customWidth="1"/>
    <col min="16" max="16" width="9.140625" style="81" customWidth="1"/>
  </cols>
  <sheetData>
    <row r="1" spans="1:16" s="70" customFormat="1" ht="15">
      <c r="A1" s="70" t="s">
        <v>8</v>
      </c>
      <c r="B1" s="70" t="s">
        <v>0</v>
      </c>
      <c r="C1" s="73" t="s">
        <v>269</v>
      </c>
      <c r="D1" s="70" t="s">
        <v>139</v>
      </c>
      <c r="E1" s="71" t="s">
        <v>163</v>
      </c>
      <c r="F1" s="71" t="s">
        <v>164</v>
      </c>
      <c r="G1" s="71" t="s">
        <v>165</v>
      </c>
      <c r="H1" s="70" t="s">
        <v>8</v>
      </c>
      <c r="I1" s="70" t="s">
        <v>139</v>
      </c>
      <c r="J1" s="71" t="s">
        <v>1</v>
      </c>
      <c r="K1" s="71" t="s">
        <v>2</v>
      </c>
      <c r="L1" s="71" t="s">
        <v>3</v>
      </c>
      <c r="M1" s="71" t="s">
        <v>4</v>
      </c>
      <c r="N1" s="71" t="s">
        <v>5</v>
      </c>
      <c r="O1" s="71" t="s">
        <v>180</v>
      </c>
      <c r="P1" s="80" t="s">
        <v>269</v>
      </c>
    </row>
    <row r="2" spans="1:16" ht="15">
      <c r="A2" s="3" t="s">
        <v>1</v>
      </c>
      <c r="B2" t="s">
        <v>208</v>
      </c>
      <c r="C2" s="74">
        <v>0</v>
      </c>
      <c r="D2" s="3" t="s">
        <v>275</v>
      </c>
      <c r="E2" s="72">
        <v>0.012129629629629629</v>
      </c>
      <c r="G2" s="72">
        <f aca="true" t="shared" si="0" ref="G2:G33">IF(E2="","",E2-F2)</f>
        <v>0.012129629629629629</v>
      </c>
      <c r="H2" s="3" t="s">
        <v>1</v>
      </c>
      <c r="I2" t="s">
        <v>273</v>
      </c>
      <c r="J2" s="72">
        <f>G5</f>
        <v>0.01931712962962963</v>
      </c>
      <c r="K2" s="72">
        <f>G2</f>
        <v>0.012129629629629629</v>
      </c>
      <c r="L2" s="72">
        <f>G4</f>
        <v>0.013564814814814816</v>
      </c>
      <c r="M2" s="72">
        <f>G11</f>
        <v>0.03820601851851852</v>
      </c>
      <c r="N2" s="72">
        <f>G8</f>
        <v>0.030046296296296297</v>
      </c>
      <c r="O2" s="72">
        <f aca="true" t="shared" si="1" ref="O2:O24">IF(COUNTA(J2:N2)=5,SUM(J2:N2),"")</f>
        <v>0.11326388888888889</v>
      </c>
      <c r="P2" s="81">
        <v>1</v>
      </c>
    </row>
    <row r="3" spans="1:16" ht="15">
      <c r="A3" s="3" t="s">
        <v>2</v>
      </c>
      <c r="B3" t="s">
        <v>144</v>
      </c>
      <c r="C3" s="74">
        <v>0</v>
      </c>
      <c r="D3" s="3" t="s">
        <v>284</v>
      </c>
      <c r="E3" s="72">
        <v>0.013645833333333331</v>
      </c>
      <c r="F3" s="72">
        <f>'Varakozasi ido II.'!G4</f>
        <v>0.0006944444444444445</v>
      </c>
      <c r="G3" s="72">
        <f t="shared" si="0"/>
        <v>0.012951388888888887</v>
      </c>
      <c r="H3" s="3" t="s">
        <v>2</v>
      </c>
      <c r="I3" t="s">
        <v>281</v>
      </c>
      <c r="J3" s="72">
        <f>G12</f>
        <v>0.011400462962962963</v>
      </c>
      <c r="K3" s="72">
        <f>G13</f>
        <v>0.022303240740740738</v>
      </c>
      <c r="L3" s="72">
        <f>G3</f>
        <v>0.012951388888888887</v>
      </c>
      <c r="M3" s="72">
        <f>G7</f>
        <v>0.0253125</v>
      </c>
      <c r="N3" s="72">
        <f>G6</f>
        <v>0.02395833333333333</v>
      </c>
      <c r="O3" s="72">
        <f t="shared" si="1"/>
        <v>0.09592592592592591</v>
      </c>
      <c r="P3" s="81">
        <v>5</v>
      </c>
    </row>
    <row r="4" spans="1:16" ht="15">
      <c r="A4" s="3" t="s">
        <v>3</v>
      </c>
      <c r="B4" t="s">
        <v>210</v>
      </c>
      <c r="C4" s="74">
        <v>0</v>
      </c>
      <c r="D4" s="3" t="s">
        <v>276</v>
      </c>
      <c r="E4" s="72">
        <v>0.013564814814814816</v>
      </c>
      <c r="G4" s="72">
        <f t="shared" si="0"/>
        <v>0.013564814814814816</v>
      </c>
      <c r="H4" s="3" t="s">
        <v>3</v>
      </c>
      <c r="I4" t="s">
        <v>141</v>
      </c>
      <c r="J4" s="72">
        <f>G9</f>
        <v>0.030925925925925926</v>
      </c>
      <c r="K4" s="72">
        <f>G10</f>
        <v>0.031018518518518515</v>
      </c>
      <c r="L4" s="72">
        <f>G14</f>
        <v>0.014120370370370368</v>
      </c>
      <c r="M4" s="72">
        <f>E15</f>
        <v>0.01017361111111111</v>
      </c>
      <c r="N4" s="102" t="s">
        <v>43</v>
      </c>
      <c r="O4" s="72">
        <f t="shared" si="1"/>
        <v>0.08623842592592591</v>
      </c>
      <c r="P4" s="81">
        <v>7</v>
      </c>
    </row>
    <row r="5" spans="1:15" ht="15">
      <c r="A5" s="3" t="s">
        <v>4</v>
      </c>
      <c r="B5" t="s">
        <v>214</v>
      </c>
      <c r="C5" s="74">
        <v>0</v>
      </c>
      <c r="D5" s="3" t="s">
        <v>274</v>
      </c>
      <c r="E5" s="72">
        <v>0.01954861111111111</v>
      </c>
      <c r="F5" s="72">
        <f>'Varakozasi ido II.'!G2</f>
        <v>0.00023148148148148146</v>
      </c>
      <c r="G5" s="72">
        <f t="shared" si="0"/>
        <v>0.01931712962962963</v>
      </c>
      <c r="O5" s="72">
        <f t="shared" si="1"/>
      </c>
    </row>
    <row r="6" spans="1:15" ht="15">
      <c r="A6" s="3" t="s">
        <v>5</v>
      </c>
      <c r="B6" t="s">
        <v>258</v>
      </c>
      <c r="C6" s="74">
        <v>0</v>
      </c>
      <c r="D6" s="3" t="s">
        <v>286</v>
      </c>
      <c r="E6" s="72">
        <v>0.02534722222222222</v>
      </c>
      <c r="F6" s="72">
        <f>'Varakozasi ido II.'!G6</f>
        <v>0.001388888888888889</v>
      </c>
      <c r="G6" s="72">
        <f t="shared" si="0"/>
        <v>0.02395833333333333</v>
      </c>
      <c r="N6" s="79"/>
      <c r="O6" s="72">
        <f t="shared" si="1"/>
      </c>
    </row>
    <row r="7" spans="1:15" ht="15">
      <c r="A7" s="3" t="s">
        <v>6</v>
      </c>
      <c r="B7" t="s">
        <v>280</v>
      </c>
      <c r="C7" s="74">
        <v>0</v>
      </c>
      <c r="D7" s="3" t="s">
        <v>285</v>
      </c>
      <c r="E7" s="72">
        <v>0.02652777777777778</v>
      </c>
      <c r="F7" s="72">
        <f>'Varakozasi ido II.'!G5</f>
        <v>0.0012152777777777778</v>
      </c>
      <c r="G7" s="72">
        <f t="shared" si="0"/>
        <v>0.0253125</v>
      </c>
      <c r="H7" s="18" t="s">
        <v>43</v>
      </c>
      <c r="I7" s="22" t="s">
        <v>52</v>
      </c>
      <c r="J7" s="20"/>
      <c r="O7" s="72">
        <f>IF(COUNTA(K7:N7)=5,SUM(K7:N7),"")</f>
      </c>
    </row>
    <row r="8" spans="1:15" ht="15">
      <c r="A8" s="3" t="s">
        <v>7</v>
      </c>
      <c r="B8" t="s">
        <v>270</v>
      </c>
      <c r="C8" s="74">
        <v>0</v>
      </c>
      <c r="D8" s="3" t="s">
        <v>278</v>
      </c>
      <c r="E8" s="72">
        <v>0.030046296296296297</v>
      </c>
      <c r="G8" s="72">
        <f t="shared" si="0"/>
        <v>0.030046296296296297</v>
      </c>
      <c r="H8" s="14" t="s">
        <v>1</v>
      </c>
      <c r="I8" s="11" t="str">
        <f aca="true" t="shared" si="2" ref="I8:I13">B2</f>
        <v>Tari Gábor</v>
      </c>
      <c r="J8" s="21" t="s">
        <v>31</v>
      </c>
      <c r="O8" s="72">
        <f>IF(COUNTA(K8:N8)=5,SUM(K8:N8),"")</f>
      </c>
    </row>
    <row r="9" spans="1:15" ht="15">
      <c r="A9" s="3" t="s">
        <v>9</v>
      </c>
      <c r="B9" t="s">
        <v>288</v>
      </c>
      <c r="C9" s="74">
        <v>0</v>
      </c>
      <c r="D9" s="3" t="s">
        <v>141</v>
      </c>
      <c r="E9" s="72">
        <v>0.030925925925925926</v>
      </c>
      <c r="G9" s="72">
        <f t="shared" si="0"/>
        <v>0.030925925925925926</v>
      </c>
      <c r="H9" s="14" t="s">
        <v>2</v>
      </c>
      <c r="I9" s="11" t="str">
        <f t="shared" si="2"/>
        <v>Püsök Tibor</v>
      </c>
      <c r="J9" s="21" t="s">
        <v>32</v>
      </c>
      <c r="O9" s="72">
        <f>IF(COUNTA(K9:N9)=5,SUM(K9:N9),"")</f>
      </c>
    </row>
    <row r="10" spans="1:15" ht="15">
      <c r="A10" s="3" t="s">
        <v>11</v>
      </c>
      <c r="B10" t="s">
        <v>287</v>
      </c>
      <c r="C10" s="74">
        <v>0</v>
      </c>
      <c r="D10" s="3" t="s">
        <v>141</v>
      </c>
      <c r="E10" s="72">
        <v>0.031018518518518515</v>
      </c>
      <c r="G10" s="72">
        <f t="shared" si="0"/>
        <v>0.031018518518518515</v>
      </c>
      <c r="H10" s="14" t="s">
        <v>3</v>
      </c>
      <c r="I10" s="11" t="str">
        <f t="shared" si="2"/>
        <v>Soltész Péter</v>
      </c>
      <c r="J10" s="21" t="s">
        <v>33</v>
      </c>
      <c r="K10" s="81"/>
      <c r="L10" s="81"/>
      <c r="M10" s="81"/>
      <c r="N10" s="81"/>
      <c r="O10" s="81">
        <f t="shared" si="1"/>
      </c>
    </row>
    <row r="11" spans="1:15" ht="15">
      <c r="A11" s="3" t="s">
        <v>12</v>
      </c>
      <c r="B11" t="s">
        <v>28</v>
      </c>
      <c r="C11" s="74">
        <v>0</v>
      </c>
      <c r="D11" s="3" t="s">
        <v>141</v>
      </c>
      <c r="E11" s="72">
        <v>0.03820601851851852</v>
      </c>
      <c r="G11" s="72">
        <f t="shared" si="0"/>
        <v>0.03820601851851852</v>
      </c>
      <c r="H11" s="14" t="s">
        <v>4</v>
      </c>
      <c r="I11" s="11" t="str">
        <f t="shared" si="2"/>
        <v>Bódis Gábor</v>
      </c>
      <c r="J11" s="21" t="s">
        <v>34</v>
      </c>
      <c r="K11" s="81"/>
      <c r="L11" s="81"/>
      <c r="M11" s="81"/>
      <c r="N11" s="81"/>
      <c r="O11" s="81">
        <f t="shared" si="1"/>
      </c>
    </row>
    <row r="12" spans="1:15" ht="15">
      <c r="A12" s="3" t="s">
        <v>13</v>
      </c>
      <c r="B12" t="s">
        <v>271</v>
      </c>
      <c r="C12" s="74">
        <v>1</v>
      </c>
      <c r="D12" s="3" t="s">
        <v>277</v>
      </c>
      <c r="E12" s="72">
        <v>0.012164351851851852</v>
      </c>
      <c r="F12" s="72">
        <f>'Varakozasi ido II.'!G3</f>
        <v>0.0007638888888888889</v>
      </c>
      <c r="G12" s="72">
        <f t="shared" si="0"/>
        <v>0.011400462962962963</v>
      </c>
      <c r="H12" s="14" t="s">
        <v>5</v>
      </c>
      <c r="I12" s="11" t="str">
        <f t="shared" si="2"/>
        <v>Racskó Andrea</v>
      </c>
      <c r="J12" s="21" t="s">
        <v>35</v>
      </c>
      <c r="K12" s="81"/>
      <c r="L12" s="81"/>
      <c r="M12" s="81"/>
      <c r="N12" s="81"/>
      <c r="O12" s="81">
        <f t="shared" si="1"/>
      </c>
    </row>
    <row r="13" spans="1:15" ht="15">
      <c r="A13" s="3" t="s">
        <v>14</v>
      </c>
      <c r="B13" t="s">
        <v>143</v>
      </c>
      <c r="C13" s="74">
        <v>1</v>
      </c>
      <c r="D13" s="3" t="s">
        <v>282</v>
      </c>
      <c r="E13" s="72">
        <v>0.022303240740740738</v>
      </c>
      <c r="G13" s="72">
        <f t="shared" si="0"/>
        <v>0.022303240740740738</v>
      </c>
      <c r="H13" s="14" t="s">
        <v>6</v>
      </c>
      <c r="I13" s="11" t="str">
        <f t="shared" si="2"/>
        <v>Dér Dávid</v>
      </c>
      <c r="J13" s="21" t="s">
        <v>36</v>
      </c>
      <c r="K13" s="81"/>
      <c r="L13" s="81"/>
      <c r="M13" s="81"/>
      <c r="N13" s="81"/>
      <c r="O13" s="81">
        <f t="shared" si="1"/>
      </c>
    </row>
    <row r="14" spans="1:15" ht="15">
      <c r="A14" s="3" t="s">
        <v>16</v>
      </c>
      <c r="B14" t="s">
        <v>279</v>
      </c>
      <c r="C14" s="74">
        <v>4</v>
      </c>
      <c r="D14" s="3" t="s">
        <v>283</v>
      </c>
      <c r="E14" s="72">
        <v>0.014120370370370368</v>
      </c>
      <c r="G14" s="72">
        <f t="shared" si="0"/>
        <v>0.014120370370370368</v>
      </c>
      <c r="K14" s="81"/>
      <c r="L14" s="81"/>
      <c r="M14" s="81"/>
      <c r="N14" s="81"/>
      <c r="O14" s="81">
        <f t="shared" si="1"/>
      </c>
    </row>
    <row r="15" spans="1:15" ht="15">
      <c r="A15" s="3" t="s">
        <v>17</v>
      </c>
      <c r="B15" t="s">
        <v>272</v>
      </c>
      <c r="C15" s="74">
        <v>7</v>
      </c>
      <c r="D15" s="3" t="s">
        <v>141</v>
      </c>
      <c r="E15" s="72">
        <v>0.01017361111111111</v>
      </c>
      <c r="G15" s="72">
        <f t="shared" si="0"/>
        <v>0.01017361111111111</v>
      </c>
      <c r="K15" s="81"/>
      <c r="L15" s="81"/>
      <c r="M15" s="81"/>
      <c r="N15" s="81"/>
      <c r="O15" s="81">
        <f t="shared" si="1"/>
      </c>
    </row>
    <row r="16" spans="1:15" ht="15">
      <c r="A16" s="3" t="s">
        <v>18</v>
      </c>
      <c r="B16" t="s">
        <v>160</v>
      </c>
      <c r="D16" s="3" t="s">
        <v>141</v>
      </c>
      <c r="E16" s="72">
        <v>0</v>
      </c>
      <c r="G16" s="72">
        <f t="shared" si="0"/>
        <v>0</v>
      </c>
      <c r="K16" s="81"/>
      <c r="L16" s="81"/>
      <c r="M16" s="81"/>
      <c r="N16" s="81"/>
      <c r="O16" s="81">
        <f t="shared" si="1"/>
      </c>
    </row>
    <row r="17" spans="7:15" ht="15">
      <c r="G17" s="72">
        <f t="shared" si="0"/>
      </c>
      <c r="H17" s="81"/>
      <c r="I17" s="82"/>
      <c r="J17" s="81"/>
      <c r="K17" s="81"/>
      <c r="L17" s="81"/>
      <c r="M17" s="81"/>
      <c r="N17" s="81"/>
      <c r="O17" s="81">
        <f t="shared" si="1"/>
      </c>
    </row>
    <row r="18" spans="7:15" ht="15">
      <c r="G18" s="72">
        <f t="shared" si="0"/>
      </c>
      <c r="H18" s="81"/>
      <c r="I18" s="82"/>
      <c r="J18" s="81"/>
      <c r="K18" s="81"/>
      <c r="L18" s="81"/>
      <c r="M18" s="81"/>
      <c r="N18" s="81"/>
      <c r="O18" s="81">
        <f t="shared" si="1"/>
      </c>
    </row>
    <row r="19" spans="7:15" ht="15">
      <c r="G19" s="72">
        <f t="shared" si="0"/>
      </c>
      <c r="H19" s="81"/>
      <c r="I19" s="82"/>
      <c r="J19" s="81"/>
      <c r="K19" s="81"/>
      <c r="L19" s="81"/>
      <c r="M19" s="81"/>
      <c r="N19" s="81"/>
      <c r="O19" s="81">
        <f t="shared" si="1"/>
      </c>
    </row>
    <row r="20" spans="7:15" ht="15">
      <c r="G20" s="72">
        <f t="shared" si="0"/>
      </c>
      <c r="H20" s="81"/>
      <c r="I20" s="82"/>
      <c r="J20" s="81"/>
      <c r="K20" s="81"/>
      <c r="L20" s="81"/>
      <c r="M20" s="81"/>
      <c r="N20" s="81"/>
      <c r="O20" s="81">
        <f t="shared" si="1"/>
      </c>
    </row>
    <row r="21" spans="7:15" ht="15">
      <c r="G21" s="72">
        <f t="shared" si="0"/>
      </c>
      <c r="H21" s="81"/>
      <c r="I21" s="82"/>
      <c r="J21" s="81"/>
      <c r="K21" s="81"/>
      <c r="L21" s="81"/>
      <c r="M21" s="81"/>
      <c r="N21" s="81"/>
      <c r="O21" s="81">
        <f t="shared" si="1"/>
      </c>
    </row>
    <row r="22" spans="7:15" ht="15">
      <c r="G22" s="72">
        <f t="shared" si="0"/>
      </c>
      <c r="H22" s="81"/>
      <c r="I22" s="82"/>
      <c r="J22" s="81"/>
      <c r="K22" s="81"/>
      <c r="L22" s="81"/>
      <c r="M22" s="81"/>
      <c r="N22" s="81"/>
      <c r="O22" s="81">
        <f t="shared" si="1"/>
      </c>
    </row>
    <row r="23" spans="7:15" ht="15">
      <c r="G23" s="72">
        <f t="shared" si="0"/>
      </c>
      <c r="H23" s="81"/>
      <c r="I23" s="82"/>
      <c r="J23" s="81"/>
      <c r="K23" s="81"/>
      <c r="L23" s="81"/>
      <c r="M23" s="81"/>
      <c r="N23" s="81"/>
      <c r="O23" s="81">
        <f t="shared" si="1"/>
      </c>
    </row>
    <row r="24" spans="7:15" ht="15">
      <c r="G24" s="72">
        <f t="shared" si="0"/>
      </c>
      <c r="H24" s="81"/>
      <c r="I24" s="82"/>
      <c r="J24" s="81"/>
      <c r="K24" s="81"/>
      <c r="L24" s="81"/>
      <c r="M24" s="81"/>
      <c r="N24" s="81"/>
      <c r="O24" s="81">
        <f t="shared" si="1"/>
      </c>
    </row>
    <row r="25" spans="7:15" ht="15">
      <c r="G25" s="72">
        <f t="shared" si="0"/>
      </c>
      <c r="H25" s="81"/>
      <c r="I25" s="82"/>
      <c r="J25" s="81"/>
      <c r="K25" s="81"/>
      <c r="L25" s="81"/>
      <c r="M25" s="81"/>
      <c r="N25" s="81"/>
      <c r="O25" s="81"/>
    </row>
    <row r="26" spans="7:15" ht="15">
      <c r="G26" s="72">
        <f t="shared" si="0"/>
      </c>
      <c r="H26" s="81"/>
      <c r="I26" s="82"/>
      <c r="J26" s="81"/>
      <c r="K26" s="81"/>
      <c r="L26" s="81"/>
      <c r="M26" s="81"/>
      <c r="N26" s="81"/>
      <c r="O26" s="81"/>
    </row>
    <row r="27" ht="15">
      <c r="G27" s="72">
        <f t="shared" si="0"/>
      </c>
    </row>
    <row r="28" ht="15">
      <c r="G28" s="72">
        <f t="shared" si="0"/>
      </c>
    </row>
    <row r="29" ht="15">
      <c r="G29" s="72">
        <f t="shared" si="0"/>
      </c>
    </row>
    <row r="30" ht="15">
      <c r="G30" s="72">
        <f t="shared" si="0"/>
      </c>
    </row>
    <row r="31" ht="15">
      <c r="G31" s="72">
        <f t="shared" si="0"/>
      </c>
    </row>
    <row r="32" ht="15">
      <c r="G32" s="72">
        <f t="shared" si="0"/>
      </c>
    </row>
    <row r="33" ht="15">
      <c r="G33" s="72">
        <f t="shared" si="0"/>
      </c>
    </row>
    <row r="34" ht="15">
      <c r="G34" s="72">
        <f aca="true" t="shared" si="3" ref="G34:G65">IF(E34="","",E34-F34)</f>
      </c>
    </row>
    <row r="35" ht="15">
      <c r="G35" s="72">
        <f t="shared" si="3"/>
      </c>
    </row>
    <row r="36" ht="15">
      <c r="G36" s="72">
        <f t="shared" si="3"/>
      </c>
    </row>
    <row r="37" ht="15">
      <c r="G37" s="72">
        <f t="shared" si="3"/>
      </c>
    </row>
    <row r="38" ht="15">
      <c r="G38" s="72">
        <f t="shared" si="3"/>
      </c>
    </row>
    <row r="39" ht="15">
      <c r="G39" s="72">
        <f t="shared" si="3"/>
      </c>
    </row>
    <row r="40" ht="15">
      <c r="G40" s="72">
        <f t="shared" si="3"/>
      </c>
    </row>
    <row r="41" ht="15">
      <c r="G41" s="72">
        <f t="shared" si="3"/>
      </c>
    </row>
    <row r="42" ht="15">
      <c r="G42" s="72">
        <f t="shared" si="3"/>
      </c>
    </row>
    <row r="43" ht="15">
      <c r="G43" s="72">
        <f t="shared" si="3"/>
      </c>
    </row>
    <row r="44" ht="15">
      <c r="G44" s="72">
        <f t="shared" si="3"/>
      </c>
    </row>
    <row r="45" ht="15">
      <c r="G45" s="72">
        <f t="shared" si="3"/>
      </c>
    </row>
    <row r="46" ht="15">
      <c r="G46" s="72">
        <f t="shared" si="3"/>
      </c>
    </row>
    <row r="47" ht="15">
      <c r="G47" s="72">
        <f t="shared" si="3"/>
      </c>
    </row>
    <row r="48" ht="15">
      <c r="G48" s="72">
        <f t="shared" si="3"/>
      </c>
    </row>
    <row r="49" ht="15">
      <c r="G49" s="72">
        <f t="shared" si="3"/>
      </c>
    </row>
    <row r="50" ht="15">
      <c r="G50" s="72">
        <f t="shared" si="3"/>
      </c>
    </row>
    <row r="51" ht="15">
      <c r="G51" s="72">
        <f t="shared" si="3"/>
      </c>
    </row>
    <row r="52" ht="15">
      <c r="G52" s="72">
        <f t="shared" si="3"/>
      </c>
    </row>
    <row r="53" ht="15">
      <c r="G53" s="72">
        <f t="shared" si="3"/>
      </c>
    </row>
    <row r="54" ht="15">
      <c r="G54" s="72">
        <f t="shared" si="3"/>
      </c>
    </row>
    <row r="55" ht="15">
      <c r="G55" s="72">
        <f t="shared" si="3"/>
      </c>
    </row>
    <row r="56" ht="15">
      <c r="G56" s="72">
        <f t="shared" si="3"/>
      </c>
    </row>
    <row r="57" ht="15">
      <c r="G57" s="72">
        <f t="shared" si="3"/>
      </c>
    </row>
    <row r="58" ht="15">
      <c r="G58" s="72">
        <f t="shared" si="3"/>
      </c>
    </row>
    <row r="59" ht="15">
      <c r="G59" s="72">
        <f t="shared" si="3"/>
      </c>
    </row>
    <row r="60" ht="15">
      <c r="G60" s="72">
        <f t="shared" si="3"/>
      </c>
    </row>
    <row r="61" ht="15">
      <c r="G61" s="72">
        <f t="shared" si="3"/>
      </c>
    </row>
    <row r="62" ht="15">
      <c r="G62" s="72">
        <f t="shared" si="3"/>
      </c>
    </row>
    <row r="63" ht="15">
      <c r="G63" s="72">
        <f t="shared" si="3"/>
      </c>
    </row>
    <row r="64" ht="15">
      <c r="G64" s="72">
        <f t="shared" si="3"/>
      </c>
    </row>
    <row r="65" ht="15">
      <c r="G65" s="72">
        <f t="shared" si="3"/>
      </c>
    </row>
    <row r="66" ht="15">
      <c r="G66" s="72">
        <f>IF(E66="","",E66-F66)</f>
      </c>
    </row>
    <row r="67" ht="15">
      <c r="G67" s="72">
        <f>IF(E67="","",E67-F67)</f>
      </c>
    </row>
    <row r="68" ht="15">
      <c r="G68" s="72">
        <f>IF(E68="","",E68-F68)</f>
      </c>
    </row>
  </sheetData>
  <sheetProtection/>
  <printOptions/>
  <pageMargins left="0.7086614173228347" right="0.7086614173228347" top="1.1023622047244095" bottom="0.7480314960629921" header="0.31496062992125984" footer="0.31496062992125984"/>
  <pageSetup horizontalDpi="600" verticalDpi="600" orientation="portrait" paperSize="9" r:id="rId1"/>
  <headerFooter>
    <oddHeader>&amp;CSzabadsport Bajnokság
KOMPLEX verseny I.
NORMAFA</oddHeader>
    <oddFooter>&amp;C2010.09.21.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2010-10-25T18:03:57Z</cp:lastPrinted>
  <dcterms:created xsi:type="dcterms:W3CDTF">2010-02-02T14:57:48Z</dcterms:created>
  <dcterms:modified xsi:type="dcterms:W3CDTF">2010-11-21T12:42:20Z</dcterms:modified>
  <cp:category/>
  <cp:version/>
  <cp:contentType/>
  <cp:contentStatus/>
</cp:coreProperties>
</file>